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060" activeTab="0"/>
  </bookViews>
  <sheets>
    <sheet name="2003 OAA " sheetId="1" r:id="rId1"/>
    <sheet name="Admin" sheetId="2" r:id="rId2"/>
  </sheets>
  <definedNames>
    <definedName name="_xlnm.Print_Area" localSheetId="0">'2003 OAA '!$A$1:$V$46</definedName>
    <definedName name="_xlnm.Print_Area">'Admin'!$A$1:$Q$41</definedName>
  </definedNames>
  <calcPr fullCalcOnLoad="1"/>
</workbook>
</file>

<file path=xl/sharedStrings.xml><?xml version="1.0" encoding="utf-8"?>
<sst xmlns="http://schemas.openxmlformats.org/spreadsheetml/2006/main" count="137" uniqueCount="95">
  <si>
    <t/>
  </si>
  <si>
    <t xml:space="preserve"> </t>
  </si>
  <si>
    <t xml:space="preserve">    </t>
  </si>
  <si>
    <t xml:space="preserve">        35% Weight</t>
  </si>
  <si>
    <t xml:space="preserve">      2003 OLDER AMERICANS ACT TITLE III</t>
  </si>
  <si>
    <t xml:space="preserve">    60+ Population</t>
  </si>
  <si>
    <t xml:space="preserve">   2003 OLDER AMERICANS ACT ALLOCATION</t>
  </si>
  <si>
    <t>%</t>
  </si>
  <si>
    <t>*</t>
  </si>
  <si>
    <t>**</t>
  </si>
  <si>
    <t>1</t>
  </si>
  <si>
    <t>10</t>
  </si>
  <si>
    <t>11</t>
  </si>
  <si>
    <t>2</t>
  </si>
  <si>
    <t>2003 Fed</t>
  </si>
  <si>
    <t>2003 projection from Florida Demographic Estimating Conference; October 2002 for Jan 2003</t>
  </si>
  <si>
    <t>25% Weight</t>
  </si>
  <si>
    <t>3</t>
  </si>
  <si>
    <t>4</t>
  </si>
  <si>
    <t>5</t>
  </si>
  <si>
    <t>50% Weight</t>
  </si>
  <si>
    <t>6</t>
  </si>
  <si>
    <t>60+</t>
  </si>
  <si>
    <t>60+ Low Income</t>
  </si>
  <si>
    <t>60+ Near Low Income</t>
  </si>
  <si>
    <t>60+ With Mobility &amp; Self</t>
  </si>
  <si>
    <t>7</t>
  </si>
  <si>
    <t>7/14/88</t>
  </si>
  <si>
    <t>8</t>
  </si>
  <si>
    <t>9</t>
  </si>
  <si>
    <t>Admin</t>
  </si>
  <si>
    <t>All Factors</t>
  </si>
  <si>
    <t>Alloca</t>
  </si>
  <si>
    <t>Allocated</t>
  </si>
  <si>
    <t>Allocation</t>
  </si>
  <si>
    <t>Allocation for CCE for 2002/2003.</t>
  </si>
  <si>
    <t>Amount</t>
  </si>
  <si>
    <t>Amount over base=</t>
  </si>
  <si>
    <t>Amount*</t>
  </si>
  <si>
    <t>Amt (incl GR)</t>
  </si>
  <si>
    <t>AREA AGENCY ADMINISTRATION ALLOCATION</t>
  </si>
  <si>
    <t>Base equals 7% of OAA services with a minimum of $230,000 per PSA.</t>
  </si>
  <si>
    <t>Base**</t>
  </si>
  <si>
    <t>Based on Admin</t>
  </si>
  <si>
    <t>Care Limita. - 15% Weight</t>
  </si>
  <si>
    <t>Caregiver</t>
  </si>
  <si>
    <t>CCE Svcs.</t>
  </si>
  <si>
    <t>Congregate</t>
  </si>
  <si>
    <t>Contract</t>
  </si>
  <si>
    <t>Counties</t>
  </si>
  <si>
    <t>Diff</t>
  </si>
  <si>
    <t>Diff.</t>
  </si>
  <si>
    <t>Factor</t>
  </si>
  <si>
    <t>Factors</t>
  </si>
  <si>
    <t>Fed + GR</t>
  </si>
  <si>
    <t>Fed Amt. 2003</t>
  </si>
  <si>
    <t>FY 02/03</t>
  </si>
  <si>
    <t>GR</t>
  </si>
  <si>
    <t>GR Alloca Based</t>
  </si>
  <si>
    <t>Home Del</t>
  </si>
  <si>
    <t>In PSA</t>
  </si>
  <si>
    <t>Increase</t>
  </si>
  <si>
    <t>Meals</t>
  </si>
  <si>
    <t>Minority - 15% Weight</t>
  </si>
  <si>
    <t>Minority includes everyone but white non-Hispanics</t>
  </si>
  <si>
    <t>Nat'l Family</t>
  </si>
  <si>
    <t>Near low income includes all with incomes from 0% to 125% of low income level</t>
  </si>
  <si>
    <t>No. of</t>
  </si>
  <si>
    <t xml:space="preserve">Note:  No setaside in C1 ($130,256) for Seminole Indian Tribe beginning with 2000 grant award.  </t>
  </si>
  <si>
    <t>Number</t>
  </si>
  <si>
    <t>OAA</t>
  </si>
  <si>
    <t>oaa services</t>
  </si>
  <si>
    <t>OAA--Adm</t>
  </si>
  <si>
    <t>Over Base</t>
  </si>
  <si>
    <t>Per AAA</t>
  </si>
  <si>
    <t>PSA</t>
  </si>
  <si>
    <t>PSA 03 Pop</t>
  </si>
  <si>
    <t>Services</t>
  </si>
  <si>
    <t xml:space="preserve">SOURCES:  </t>
  </si>
  <si>
    <t>Supportive</t>
  </si>
  <si>
    <t>Title C 1</t>
  </si>
  <si>
    <t>Title C 2</t>
  </si>
  <si>
    <t>Title III B</t>
  </si>
  <si>
    <t>Title IIIE</t>
  </si>
  <si>
    <t>Total</t>
  </si>
  <si>
    <t>Total 2002</t>
  </si>
  <si>
    <t>Total 2003</t>
  </si>
  <si>
    <t>% Increase</t>
  </si>
  <si>
    <t>(Decrease)</t>
  </si>
  <si>
    <t xml:space="preserve">      Using 2003 Population Data (1990 Census)</t>
  </si>
  <si>
    <t>2003 Grant Award</t>
  </si>
  <si>
    <t xml:space="preserve">     SERVICES/ADMINISTRATIVE ALLOCATION - Based on Grant Award 2003 - Using 2003 Population Data (1990 Census)</t>
  </si>
  <si>
    <t>Contract Period:  January 1, 2003 - December 31, 2003</t>
  </si>
  <si>
    <t>V:\bbfm\chief\Bud0304\OAA2003SvcsAdmAllocaMarch</t>
  </si>
  <si>
    <t>April 1,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</si>
</sst>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"/>
  </numFmts>
  <fonts count="9">
    <font>
      <sz val="12"/>
      <name val="Arial"/>
      <family val="0"/>
    </font>
    <font>
      <sz val="18"/>
      <name val="Arial"/>
      <family val="0"/>
    </font>
    <font>
      <b/>
      <sz val="14"/>
      <name val="Times New Roman"/>
      <family val="0"/>
    </font>
    <font>
      <i/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6">
    <xf numFmtId="0" fontId="0" fillId="2" borderId="0" xfId="0" applyAlignment="1">
      <alignment/>
    </xf>
    <xf numFmtId="9" fontId="0" fillId="2" borderId="0" xfId="0" applyAlignment="1">
      <alignment/>
    </xf>
    <xf numFmtId="3" fontId="0" fillId="2" borderId="0" xfId="0" applyAlignment="1">
      <alignment/>
    </xf>
    <xf numFmtId="5" fontId="0" fillId="2" borderId="0" xfId="0" applyAlignment="1">
      <alignment/>
    </xf>
    <xf numFmtId="164" fontId="0" fillId="2" borderId="0" xfId="0" applyAlignment="1">
      <alignment/>
    </xf>
    <xf numFmtId="10" fontId="0" fillId="2" borderId="0" xfId="0" applyAlignment="1">
      <alignment/>
    </xf>
    <xf numFmtId="0" fontId="5" fillId="2" borderId="0" xfId="0" applyAlignment="1">
      <alignment/>
    </xf>
    <xf numFmtId="22" fontId="0" fillId="2" borderId="0" xfId="0" applyAlignment="1">
      <alignment/>
    </xf>
    <xf numFmtId="0" fontId="2" fillId="2" borderId="0" xfId="0" applyAlignment="1">
      <alignment/>
    </xf>
    <xf numFmtId="0" fontId="4" fillId="2" borderId="0" xfId="0" applyAlignment="1">
      <alignment/>
    </xf>
    <xf numFmtId="165" fontId="0" fillId="2" borderId="1" xfId="0" applyAlignment="1">
      <alignment/>
    </xf>
    <xf numFmtId="0" fontId="0" fillId="2" borderId="2" xfId="0" applyAlignment="1">
      <alignment/>
    </xf>
    <xf numFmtId="0" fontId="0" fillId="2" borderId="3" xfId="0" applyAlignment="1">
      <alignment/>
    </xf>
    <xf numFmtId="0" fontId="0" fillId="2" borderId="4" xfId="0" applyAlignment="1">
      <alignment/>
    </xf>
    <xf numFmtId="0" fontId="5" fillId="2" borderId="5" xfId="0" applyAlignment="1">
      <alignment horizontal="center"/>
    </xf>
    <xf numFmtId="0" fontId="0" fillId="2" borderId="5" xfId="0" applyAlignment="1">
      <alignment horizontal="center"/>
    </xf>
    <xf numFmtId="0" fontId="0" fillId="2" borderId="6" xfId="0" applyAlignment="1">
      <alignment horizontal="center"/>
    </xf>
    <xf numFmtId="0" fontId="5" fillId="2" borderId="0" xfId="0" applyAlignment="1">
      <alignment horizontal="center"/>
    </xf>
    <xf numFmtId="0" fontId="6" fillId="2" borderId="0" xfId="0" applyAlignment="1">
      <alignment horizontal="center"/>
    </xf>
    <xf numFmtId="0" fontId="0" fillId="2" borderId="0" xfId="0" applyAlignment="1">
      <alignment horizontal="center"/>
    </xf>
    <xf numFmtId="0" fontId="5" fillId="2" borderId="7" xfId="0" applyAlignment="1">
      <alignment horizontal="center"/>
    </xf>
    <xf numFmtId="0" fontId="0" fillId="2" borderId="7" xfId="0" applyAlignment="1">
      <alignment horizontal="center"/>
    </xf>
    <xf numFmtId="3" fontId="0" fillId="2" borderId="1" xfId="0" applyAlignment="1">
      <alignment/>
    </xf>
    <xf numFmtId="164" fontId="0" fillId="2" borderId="1" xfId="0" applyAlignment="1">
      <alignment/>
    </xf>
    <xf numFmtId="5" fontId="0" fillId="2" borderId="1" xfId="0" applyAlignment="1">
      <alignment/>
    </xf>
    <xf numFmtId="5" fontId="0" fillId="2" borderId="8" xfId="0" applyAlignment="1">
      <alignment/>
    </xf>
    <xf numFmtId="5" fontId="0" fillId="2" borderId="1" xfId="0" applyAlignment="1">
      <alignment horizontal="center" vertical="center" wrapText="1"/>
    </xf>
    <xf numFmtId="0" fontId="0" fillId="2" borderId="9" xfId="0" applyAlignment="1">
      <alignment/>
    </xf>
    <xf numFmtId="0" fontId="0" fillId="2" borderId="1" xfId="0" applyAlignment="1">
      <alignment/>
    </xf>
    <xf numFmtId="5" fontId="0" fillId="2" borderId="10" xfId="0" applyAlignment="1">
      <alignment/>
    </xf>
    <xf numFmtId="5" fontId="0" fillId="2" borderId="11" xfId="0" applyAlignment="1">
      <alignment/>
    </xf>
    <xf numFmtId="5" fontId="0" fillId="2" borderId="9" xfId="0" applyAlignment="1">
      <alignment/>
    </xf>
    <xf numFmtId="5" fontId="0" fillId="2" borderId="12" xfId="0" applyAlignment="1">
      <alignment/>
    </xf>
    <xf numFmtId="5" fontId="0" fillId="2" borderId="13" xfId="0" applyAlignment="1">
      <alignment/>
    </xf>
    <xf numFmtId="5" fontId="0" fillId="2" borderId="14" xfId="0" applyAlignment="1">
      <alignment/>
    </xf>
    <xf numFmtId="5" fontId="0" fillId="2" borderId="15" xfId="0" applyAlignment="1">
      <alignment/>
    </xf>
    <xf numFmtId="5" fontId="0" fillId="2" borderId="16" xfId="0" applyAlignment="1">
      <alignment/>
    </xf>
    <xf numFmtId="5" fontId="0" fillId="2" borderId="3" xfId="0" applyAlignment="1">
      <alignment/>
    </xf>
    <xf numFmtId="5" fontId="0" fillId="2" borderId="4" xfId="0" applyAlignment="1">
      <alignment/>
    </xf>
    <xf numFmtId="0" fontId="0" fillId="3" borderId="17" xfId="0" applyAlignment="1">
      <alignment/>
    </xf>
    <xf numFmtId="0" fontId="0" fillId="2" borderId="6" xfId="0" applyAlignment="1">
      <alignment/>
    </xf>
    <xf numFmtId="0" fontId="0" fillId="3" borderId="12" xfId="0" applyAlignment="1">
      <alignment/>
    </xf>
    <xf numFmtId="0" fontId="0" fillId="2" borderId="18" xfId="0" applyAlignment="1">
      <alignment/>
    </xf>
    <xf numFmtId="165" fontId="0" fillId="2" borderId="0" xfId="0" applyAlignment="1">
      <alignment/>
    </xf>
    <xf numFmtId="0" fontId="0" fillId="3" borderId="13" xfId="0" applyAlignment="1">
      <alignment/>
    </xf>
    <xf numFmtId="3" fontId="0" fillId="2" borderId="7" xfId="0" applyAlignment="1">
      <alignment/>
    </xf>
    <xf numFmtId="0" fontId="0" fillId="2" borderId="19" xfId="0" applyAlignment="1">
      <alignment/>
    </xf>
    <xf numFmtId="0" fontId="0" fillId="2" borderId="17" xfId="0" applyAlignment="1">
      <alignment/>
    </xf>
    <xf numFmtId="0" fontId="0" fillId="2" borderId="5" xfId="0" applyAlignment="1">
      <alignment/>
    </xf>
    <xf numFmtId="0" fontId="0" fillId="2" borderId="12" xfId="0" applyAlignment="1">
      <alignment/>
    </xf>
    <xf numFmtId="5" fontId="0" fillId="2" borderId="18" xfId="0" applyAlignment="1">
      <alignment/>
    </xf>
    <xf numFmtId="0" fontId="0" fillId="2" borderId="13" xfId="0" applyAlignment="1">
      <alignment/>
    </xf>
    <xf numFmtId="0" fontId="0" fillId="2" borderId="7" xfId="0" applyAlignment="1">
      <alignment/>
    </xf>
    <xf numFmtId="5" fontId="0" fillId="2" borderId="7" xfId="0" applyAlignment="1">
      <alignment/>
    </xf>
    <xf numFmtId="5" fontId="0" fillId="2" borderId="19" xfId="0" applyAlignment="1">
      <alignment/>
    </xf>
    <xf numFmtId="3" fontId="0" fillId="2" borderId="20" xfId="0" applyAlignment="1">
      <alignment/>
    </xf>
    <xf numFmtId="164" fontId="0" fillId="2" borderId="20" xfId="0" applyAlignment="1">
      <alignment/>
    </xf>
    <xf numFmtId="5" fontId="0" fillId="2" borderId="20" xfId="0" applyAlignment="1">
      <alignment/>
    </xf>
    <xf numFmtId="5" fontId="0" fillId="2" borderId="21" xfId="0" applyAlignment="1">
      <alignment/>
    </xf>
    <xf numFmtId="0" fontId="0" fillId="2" borderId="22" xfId="0" applyAlignment="1">
      <alignment/>
    </xf>
    <xf numFmtId="164" fontId="0" fillId="2" borderId="22" xfId="0" applyAlignment="1">
      <alignment/>
    </xf>
    <xf numFmtId="5" fontId="0" fillId="2" borderId="22" xfId="0" applyAlignment="1">
      <alignment/>
    </xf>
    <xf numFmtId="5" fontId="0" fillId="2" borderId="23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0" fontId="4" fillId="2" borderId="0" xfId="0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4" fillId="2" borderId="0" xfId="0" applyBorder="1" applyAlignment="1">
      <alignment/>
    </xf>
    <xf numFmtId="5" fontId="0" fillId="2" borderId="24" xfId="0" applyBorder="1" applyAlignment="1">
      <alignment/>
    </xf>
    <xf numFmtId="5" fontId="0" fillId="2" borderId="25" xfId="0" applyBorder="1" applyAlignment="1">
      <alignment/>
    </xf>
    <xf numFmtId="5" fontId="0" fillId="2" borderId="26" xfId="0" applyBorder="1" applyAlignment="1">
      <alignment/>
    </xf>
    <xf numFmtId="5" fontId="0" fillId="2" borderId="27" xfId="0" applyBorder="1" applyAlignment="1">
      <alignment/>
    </xf>
    <xf numFmtId="5" fontId="0" fillId="2" borderId="28" xfId="0" applyBorder="1" applyAlignment="1">
      <alignment/>
    </xf>
    <xf numFmtId="5" fontId="0" fillId="2" borderId="0" xfId="0" applyBorder="1" applyAlignment="1">
      <alignment/>
    </xf>
    <xf numFmtId="3" fontId="0" fillId="2" borderId="0" xfId="0" applyBorder="1" applyAlignment="1">
      <alignment/>
    </xf>
    <xf numFmtId="0" fontId="0" fillId="2" borderId="0" xfId="0" applyBorder="1" applyAlignment="1">
      <alignment horizontal="center"/>
    </xf>
    <xf numFmtId="5" fontId="0" fillId="2" borderId="29" xfId="0" applyBorder="1" applyAlignment="1">
      <alignment/>
    </xf>
    <xf numFmtId="10" fontId="0" fillId="2" borderId="29" xfId="0" applyNumberFormat="1" applyBorder="1" applyAlignment="1">
      <alignment/>
    </xf>
    <xf numFmtId="5" fontId="0" fillId="2" borderId="30" xfId="0" applyBorder="1" applyAlignment="1">
      <alignment/>
    </xf>
    <xf numFmtId="10" fontId="0" fillId="2" borderId="14" xfId="0" applyNumberFormat="1" applyBorder="1" applyAlignment="1">
      <alignment/>
    </xf>
    <xf numFmtId="10" fontId="0" fillId="2" borderId="31" xfId="0" applyNumberFormat="1" applyBorder="1" applyAlignment="1">
      <alignment/>
    </xf>
    <xf numFmtId="0" fontId="2" fillId="2" borderId="0" xfId="0" applyFont="1" applyAlignment="1">
      <alignment/>
    </xf>
    <xf numFmtId="15" fontId="0" fillId="2" borderId="0" xfId="0" applyNumberFormat="1" applyAlignment="1" quotePrefix="1">
      <alignment/>
    </xf>
    <xf numFmtId="0" fontId="4" fillId="2" borderId="0" xfId="0" applyFont="1" applyAlignment="1">
      <alignment/>
    </xf>
    <xf numFmtId="0" fontId="7" fillId="2" borderId="18" xfId="0" applyFont="1" applyAlignment="1">
      <alignment horizontal="center"/>
    </xf>
    <xf numFmtId="0" fontId="5" fillId="2" borderId="0" xfId="0" applyFont="1" applyBorder="1" applyAlignment="1" quotePrefix="1">
      <alignment horizontal="center"/>
    </xf>
    <xf numFmtId="10" fontId="0" fillId="2" borderId="8" xfId="0" applyNumberFormat="1" applyAlignment="1">
      <alignment/>
    </xf>
    <xf numFmtId="10" fontId="0" fillId="2" borderId="18" xfId="0" applyNumberFormat="1" applyAlignment="1">
      <alignment/>
    </xf>
    <xf numFmtId="0" fontId="4" fillId="2" borderId="0" xfId="0" applyFont="1" applyAlignment="1" quotePrefix="1">
      <alignment/>
    </xf>
    <xf numFmtId="0" fontId="4" fillId="2" borderId="0" xfId="0" applyFont="1" applyAlignment="1">
      <alignment/>
    </xf>
    <xf numFmtId="0" fontId="0" fillId="2" borderId="0" xfId="0" applyAlignment="1" quotePrefix="1">
      <alignment/>
    </xf>
    <xf numFmtId="0" fontId="8" fillId="2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0"/>
  <sheetViews>
    <sheetView showGridLines="0" tabSelected="1" zoomScale="75" zoomScaleNormal="75" workbookViewId="0" topLeftCell="A17">
      <selection activeCell="A43" sqref="A43"/>
    </sheetView>
  </sheetViews>
  <sheetFormatPr defaultColWidth="8.88671875" defaultRowHeight="15"/>
  <cols>
    <col min="1" max="1" width="1.4375" style="0" customWidth="1"/>
    <col min="2" max="2" width="4.5546875" style="0" customWidth="1"/>
    <col min="3" max="3" width="10.77734375" style="0" customWidth="1"/>
    <col min="4" max="4" width="9.21484375" style="0" customWidth="1"/>
    <col min="5" max="5" width="8.77734375" style="0" customWidth="1"/>
    <col min="6" max="6" width="9.21484375" style="0" customWidth="1"/>
    <col min="7" max="7" width="8.77734375" style="0" customWidth="1"/>
    <col min="8" max="8" width="8.4453125" style="0" customWidth="1"/>
    <col min="9" max="9" width="8.77734375" style="0" customWidth="1"/>
    <col min="11" max="11" width="9.21484375" style="0" customWidth="1"/>
    <col min="12" max="13" width="12.3359375" style="0" customWidth="1"/>
    <col min="14" max="14" width="13.10546875" style="0" customWidth="1"/>
    <col min="15" max="15" width="10.5546875" style="0" customWidth="1"/>
    <col min="16" max="16" width="11.3359375" style="0" customWidth="1"/>
    <col min="17" max="17" width="9.99609375" style="0" customWidth="1"/>
    <col min="18" max="18" width="14.21484375" style="0" customWidth="1"/>
    <col min="19" max="19" width="12.21484375" style="0" customWidth="1"/>
    <col min="20" max="20" width="1.4375" style="0" hidden="1" customWidth="1"/>
    <col min="21" max="21" width="11.88671875" style="0" customWidth="1"/>
    <col min="23" max="23" width="12.3359375" style="0" customWidth="1"/>
    <col min="24" max="24" width="1.4375" style="0" customWidth="1"/>
    <col min="25" max="25" width="10.77734375" style="0" customWidth="1"/>
    <col min="26" max="26" width="1.4375" style="0" customWidth="1"/>
    <col min="27" max="27" width="7.99609375" style="0" customWidth="1"/>
    <col min="28" max="28" width="1.4375" style="0" customWidth="1"/>
    <col min="29" max="29" width="17.77734375" style="0" customWidth="1"/>
    <col min="30" max="30" width="1.4375" style="0" customWidth="1"/>
    <col min="31" max="31" width="17.77734375" style="0" customWidth="1"/>
    <col min="32" max="32" width="1.4375" style="0" customWidth="1"/>
    <col min="33" max="16384" width="7.99609375" style="0" customWidth="1"/>
  </cols>
  <sheetData>
    <row r="2" spans="8:18" ht="18.75">
      <c r="H2" s="8"/>
      <c r="J2" s="8" t="s">
        <v>4</v>
      </c>
      <c r="L2" s="8"/>
      <c r="M2" s="8"/>
      <c r="N2" s="8"/>
      <c r="O2" s="8"/>
      <c r="P2" s="8"/>
      <c r="Q2" s="9"/>
      <c r="R2" s="9"/>
    </row>
    <row r="3" spans="7:18" ht="18.75">
      <c r="G3" s="85" t="s">
        <v>91</v>
      </c>
      <c r="I3" s="8"/>
      <c r="J3" s="8"/>
      <c r="K3" s="8"/>
      <c r="L3" s="8"/>
      <c r="M3" s="8"/>
      <c r="N3" s="8"/>
      <c r="O3" s="8"/>
      <c r="P3" s="8"/>
      <c r="Q3" s="9"/>
      <c r="R3" s="9"/>
    </row>
    <row r="4" spans="9:18" ht="15.75">
      <c r="I4" s="9"/>
      <c r="J4" s="93" t="s">
        <v>92</v>
      </c>
      <c r="R4" s="9" t="s">
        <v>1</v>
      </c>
    </row>
    <row r="5" spans="1:23" ht="18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7"/>
      <c r="K5" s="66"/>
      <c r="L5" s="66"/>
      <c r="M5" s="66"/>
      <c r="N5" s="66"/>
      <c r="O5" s="66"/>
      <c r="P5" s="66"/>
      <c r="Q5" s="66"/>
      <c r="R5" s="66"/>
      <c r="S5" s="95"/>
      <c r="T5" s="66"/>
      <c r="U5" s="66"/>
      <c r="V5" s="66"/>
      <c r="W5" s="66"/>
    </row>
    <row r="6" spans="1:24" ht="15.75">
      <c r="A6" s="70"/>
      <c r="B6" s="70"/>
      <c r="C6" s="70"/>
      <c r="D6" s="70"/>
      <c r="E6" s="70"/>
      <c r="F6" s="70"/>
      <c r="G6" s="70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65"/>
    </row>
    <row r="7" spans="1:24" ht="1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65"/>
    </row>
    <row r="8" spans="1:23" ht="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9">
        <v>2003</v>
      </c>
      <c r="M8" s="69">
        <v>2003</v>
      </c>
      <c r="N8" s="69">
        <v>2003</v>
      </c>
      <c r="O8" s="69">
        <v>2003</v>
      </c>
      <c r="P8" s="69">
        <v>2003</v>
      </c>
      <c r="Q8" s="69">
        <v>2003</v>
      </c>
      <c r="R8" s="69"/>
      <c r="S8" s="69"/>
      <c r="T8" s="69"/>
      <c r="U8" s="69"/>
      <c r="V8" s="69"/>
      <c r="W8" s="68"/>
    </row>
    <row r="9" spans="3:22" ht="15">
      <c r="C9" t="s">
        <v>5</v>
      </c>
      <c r="E9" t="s">
        <v>23</v>
      </c>
      <c r="G9" s="6" t="s">
        <v>24</v>
      </c>
      <c r="H9" s="6"/>
      <c r="I9" s="6" t="s">
        <v>25</v>
      </c>
      <c r="J9" s="6"/>
      <c r="K9" t="s">
        <v>84</v>
      </c>
      <c r="L9" s="19" t="s">
        <v>82</v>
      </c>
      <c r="M9" s="19" t="s">
        <v>80</v>
      </c>
      <c r="N9" s="19" t="s">
        <v>81</v>
      </c>
      <c r="O9" s="19" t="s">
        <v>83</v>
      </c>
      <c r="P9" s="19" t="s">
        <v>70</v>
      </c>
      <c r="Q9" s="19" t="s">
        <v>57</v>
      </c>
      <c r="R9" s="19" t="s">
        <v>86</v>
      </c>
      <c r="S9" s="19" t="s">
        <v>85</v>
      </c>
      <c r="T9" s="19"/>
      <c r="U9" s="19"/>
      <c r="V9" s="19"/>
    </row>
    <row r="10" spans="2:22" ht="15">
      <c r="B10" t="s">
        <v>75</v>
      </c>
      <c r="C10" s="1" t="s">
        <v>3</v>
      </c>
      <c r="E10" s="1" t="s">
        <v>3</v>
      </c>
      <c r="G10" s="6" t="s">
        <v>63</v>
      </c>
      <c r="H10" s="6"/>
      <c r="I10" s="6" t="s">
        <v>44</v>
      </c>
      <c r="J10" s="6"/>
      <c r="K10" t="s">
        <v>53</v>
      </c>
      <c r="L10" s="19" t="s">
        <v>79</v>
      </c>
      <c r="M10" s="19" t="s">
        <v>47</v>
      </c>
      <c r="N10" s="19" t="s">
        <v>59</v>
      </c>
      <c r="O10" s="19" t="s">
        <v>65</v>
      </c>
      <c r="P10" s="19" t="s">
        <v>30</v>
      </c>
      <c r="Q10" s="19" t="s">
        <v>30</v>
      </c>
      <c r="R10" s="19" t="s">
        <v>48</v>
      </c>
      <c r="S10" s="19" t="s">
        <v>48</v>
      </c>
      <c r="T10" s="19"/>
      <c r="U10" s="19"/>
      <c r="V10" s="63" t="s">
        <v>87</v>
      </c>
    </row>
    <row r="11" spans="3:23" ht="15">
      <c r="C11" t="s">
        <v>69</v>
      </c>
      <c r="D11" t="s">
        <v>52</v>
      </c>
      <c r="E11" t="s">
        <v>69</v>
      </c>
      <c r="F11" t="s">
        <v>52</v>
      </c>
      <c r="G11" s="6" t="s">
        <v>69</v>
      </c>
      <c r="H11" s="6" t="s">
        <v>52</v>
      </c>
      <c r="I11" s="6" t="s">
        <v>69</v>
      </c>
      <c r="J11" s="6" t="s">
        <v>52</v>
      </c>
      <c r="L11" s="19" t="s">
        <v>77</v>
      </c>
      <c r="M11" s="19" t="s">
        <v>62</v>
      </c>
      <c r="N11" s="19" t="s">
        <v>62</v>
      </c>
      <c r="O11" s="19" t="s">
        <v>45</v>
      </c>
      <c r="P11" s="19" t="s">
        <v>32</v>
      </c>
      <c r="Q11" s="19" t="s">
        <v>32</v>
      </c>
      <c r="R11" s="19" t="s">
        <v>39</v>
      </c>
      <c r="S11" s="19" t="s">
        <v>36</v>
      </c>
      <c r="T11" s="19"/>
      <c r="U11" s="19" t="s">
        <v>50</v>
      </c>
      <c r="V11" s="64" t="s">
        <v>88</v>
      </c>
      <c r="W11" t="s">
        <v>71</v>
      </c>
    </row>
    <row r="12" spans="12:22" ht="15.75" thickBot="1">
      <c r="L12" s="19"/>
      <c r="M12" s="19"/>
      <c r="N12" s="19"/>
      <c r="O12" s="19"/>
      <c r="P12" s="19"/>
      <c r="Q12" s="19"/>
      <c r="R12" s="19"/>
      <c r="S12" s="19"/>
      <c r="T12" s="19"/>
      <c r="U12" s="79"/>
      <c r="V12" s="79"/>
    </row>
    <row r="13" spans="1:25" ht="15">
      <c r="A13" s="47"/>
      <c r="B13" s="48" t="s">
        <v>10</v>
      </c>
      <c r="C13" s="55">
        <v>113999</v>
      </c>
      <c r="D13" s="56">
        <f>SUM(C13/$C$35*0.35)</f>
        <v>0.010575295839207443</v>
      </c>
      <c r="E13" s="55">
        <v>17125</v>
      </c>
      <c r="F13" s="56">
        <f>SUM(E13/$E$35*0.35)</f>
        <v>0.012490440059433134</v>
      </c>
      <c r="G13" s="55">
        <v>5439</v>
      </c>
      <c r="H13" s="56">
        <f>SUM(G13/$G$35*0.15)</f>
        <v>0.003869393446432721</v>
      </c>
      <c r="I13" s="55">
        <v>7240</v>
      </c>
      <c r="J13" s="56">
        <f>SUM(I13/$I$35*0.15)</f>
        <v>0.005411303944870472</v>
      </c>
      <c r="K13" s="56">
        <f>J13+D13+F13+H13</f>
        <v>0.03234643328994377</v>
      </c>
      <c r="L13" s="29">
        <f>ROUND($L$49*K13,0)</f>
        <v>728288</v>
      </c>
      <c r="M13" s="29">
        <f>ROUND(K13*$M$49,0)</f>
        <v>699077</v>
      </c>
      <c r="N13" s="34">
        <f>ROUND($N$49*K13,0)</f>
        <v>368452</v>
      </c>
      <c r="O13" s="58">
        <f>ROUND($O$49*K13,0)</f>
        <v>276870</v>
      </c>
      <c r="P13" s="58">
        <f>Admin!L13</f>
        <v>323541</v>
      </c>
      <c r="Q13" s="57">
        <f>Admin!M13</f>
        <v>15769</v>
      </c>
      <c r="R13" s="34">
        <f>SUM(L13:Q13)</f>
        <v>2411997</v>
      </c>
      <c r="S13" s="34">
        <v>2415426</v>
      </c>
      <c r="T13" s="57"/>
      <c r="U13" s="72">
        <f>R13-S13</f>
        <v>-3429</v>
      </c>
      <c r="V13" s="83">
        <f>SUM(U13/S13)</f>
        <v>-0.001419625358011382</v>
      </c>
      <c r="W13" s="77">
        <f>SUM(L13:O13)</f>
        <v>2072687</v>
      </c>
      <c r="Y13" s="2"/>
    </row>
    <row r="14" spans="1:25" ht="15">
      <c r="A14" s="49"/>
      <c r="C14" s="59"/>
      <c r="D14" s="60"/>
      <c r="E14" s="59"/>
      <c r="F14" s="60"/>
      <c r="G14" s="59"/>
      <c r="H14" s="59"/>
      <c r="I14" s="59" t="s">
        <v>1</v>
      </c>
      <c r="J14" s="59"/>
      <c r="K14" s="59"/>
      <c r="L14" s="30"/>
      <c r="M14" s="30"/>
      <c r="N14" s="35"/>
      <c r="O14" s="62"/>
      <c r="P14" s="62"/>
      <c r="Q14" s="61"/>
      <c r="R14" s="35"/>
      <c r="S14" s="35"/>
      <c r="T14" s="61"/>
      <c r="U14" s="73"/>
      <c r="V14" s="80"/>
      <c r="W14" s="77"/>
      <c r="Y14" s="2"/>
    </row>
    <row r="15" spans="1:25" ht="15">
      <c r="A15" s="49"/>
      <c r="B15" t="s">
        <v>13</v>
      </c>
      <c r="C15" s="22">
        <v>105341</v>
      </c>
      <c r="D15" s="23">
        <f>SUM(C15/$C$35*0.35)</f>
        <v>0.009772122904568912</v>
      </c>
      <c r="E15" s="22">
        <v>21645</v>
      </c>
      <c r="F15" s="23">
        <f>SUM(E15/$E$35*0.35)</f>
        <v>0.015787186866360887</v>
      </c>
      <c r="G15" s="22">
        <v>8223</v>
      </c>
      <c r="H15" s="23">
        <f>SUM(G15/$G$35*0.15)</f>
        <v>0.005849976523260943</v>
      </c>
      <c r="I15" s="22">
        <v>7891</v>
      </c>
      <c r="J15" s="23">
        <f>SUM(I15/$I$35*0.15)</f>
        <v>0.0058978728493056486</v>
      </c>
      <c r="K15" s="23">
        <f>J15+D15+F15+H15</f>
        <v>0.03730715914349639</v>
      </c>
      <c r="L15" s="31">
        <f>ROUND($L$49*K15,0)</f>
        <v>839980</v>
      </c>
      <c r="M15" s="31">
        <f>ROUND(K15*$M$49,0)</f>
        <v>806289</v>
      </c>
      <c r="N15" s="36">
        <f>ROUND($N$49*K15,0)</f>
        <v>424959</v>
      </c>
      <c r="O15" s="25">
        <f>ROUND($O$49*K15,0)</f>
        <v>319331</v>
      </c>
      <c r="P15" s="25">
        <f>Admin!L15</f>
        <v>417995</v>
      </c>
      <c r="Q15" s="24">
        <f>Admin!M15</f>
        <v>20372</v>
      </c>
      <c r="R15" s="36">
        <f>SUM(L15:Q15)</f>
        <v>2828926</v>
      </c>
      <c r="S15" s="36">
        <v>2839125</v>
      </c>
      <c r="T15" s="24"/>
      <c r="U15" s="74">
        <f>R15-S15</f>
        <v>-10199</v>
      </c>
      <c r="V15" s="84">
        <f>SUM(U15/S15)</f>
        <v>-0.0035923039668912075</v>
      </c>
      <c r="W15" s="77">
        <f>SUM(L15:O15)</f>
        <v>2390559</v>
      </c>
      <c r="Y15" s="2"/>
    </row>
    <row r="16" spans="1:25" ht="15">
      <c r="A16" s="49"/>
      <c r="D16" s="4"/>
      <c r="F16" s="4"/>
      <c r="L16" s="32"/>
      <c r="M16" s="32"/>
      <c r="N16" s="37"/>
      <c r="O16" s="50"/>
      <c r="P16" s="50"/>
      <c r="Q16" s="3"/>
      <c r="R16" s="37"/>
      <c r="S16" s="37"/>
      <c r="T16" s="3"/>
      <c r="U16" s="75"/>
      <c r="V16" s="80"/>
      <c r="W16" s="77"/>
      <c r="Y16" s="2"/>
    </row>
    <row r="17" spans="1:25" ht="15">
      <c r="A17" s="49"/>
      <c r="B17" t="s">
        <v>17</v>
      </c>
      <c r="C17" s="22">
        <v>380565</v>
      </c>
      <c r="D17" s="23">
        <f>SUM(C17/$C$35*0.35)</f>
        <v>0.03530370846277582</v>
      </c>
      <c r="E17" s="22">
        <v>53844</v>
      </c>
      <c r="F17" s="23">
        <f>SUM(E17/$E$35*0.35)</f>
        <v>0.03927213165314555</v>
      </c>
      <c r="G17" s="22">
        <v>12308</v>
      </c>
      <c r="H17" s="23">
        <f>SUM(G17/$G$35*0.15)</f>
        <v>0.008756112252012123</v>
      </c>
      <c r="I17" s="22">
        <v>20143</v>
      </c>
      <c r="J17" s="23">
        <f>SUM(I17/$I$35*0.15)</f>
        <v>0.015055234165956619</v>
      </c>
      <c r="K17" s="23">
        <f>J17+D17+F17+H17</f>
        <v>0.09838718653389011</v>
      </c>
      <c r="L17" s="31">
        <f>ROUND($L$49*K17,0)</f>
        <v>2215211</v>
      </c>
      <c r="M17" s="31">
        <f>ROUND(K17*$M$49,0)</f>
        <v>2126362</v>
      </c>
      <c r="N17" s="36">
        <f>ROUND($N$49*K17,0)</f>
        <v>1120710</v>
      </c>
      <c r="O17" s="25">
        <f>ROUND($O$49*K17,0)</f>
        <v>842147</v>
      </c>
      <c r="P17" s="25">
        <f>Admin!L17</f>
        <v>770826</v>
      </c>
      <c r="Q17" s="24">
        <f>Admin!M17</f>
        <v>37568</v>
      </c>
      <c r="R17" s="36">
        <f>SUM(L17:Q17)</f>
        <v>7112824</v>
      </c>
      <c r="S17" s="36">
        <v>7073749</v>
      </c>
      <c r="T17" s="24"/>
      <c r="U17" s="74">
        <f>R17-S17</f>
        <v>39075</v>
      </c>
      <c r="V17" s="84">
        <f>SUM(U17/S17)</f>
        <v>0.00552394494065311</v>
      </c>
      <c r="W17" s="77">
        <f>SUM(L17:O17)</f>
        <v>6304430</v>
      </c>
      <c r="Y17" s="2"/>
    </row>
    <row r="18" spans="1:25" ht="15">
      <c r="A18" s="49"/>
      <c r="D18" s="4"/>
      <c r="F18" s="4"/>
      <c r="L18" s="32"/>
      <c r="M18" s="32"/>
      <c r="N18" s="37"/>
      <c r="O18" s="50"/>
      <c r="P18" s="50"/>
      <c r="Q18" s="3"/>
      <c r="R18" s="37"/>
      <c r="S18" s="37"/>
      <c r="T18" s="3"/>
      <c r="U18" s="75"/>
      <c r="V18" s="80"/>
      <c r="W18" s="77"/>
      <c r="Y18" s="2"/>
    </row>
    <row r="19" spans="1:25" ht="15">
      <c r="A19" s="49"/>
      <c r="B19" t="s">
        <v>18</v>
      </c>
      <c r="C19" s="22">
        <v>329783</v>
      </c>
      <c r="D19" s="23">
        <f>SUM(C19/$C$35*0.35)</f>
        <v>0.030592836671737022</v>
      </c>
      <c r="E19" s="22">
        <v>43597</v>
      </c>
      <c r="F19" s="23">
        <f>SUM(E19/$E$35*0.35)</f>
        <v>0.03179828994283833</v>
      </c>
      <c r="G19" s="22">
        <v>15613</v>
      </c>
      <c r="H19" s="23">
        <f>SUM(G19/$G$35*0.15)</f>
        <v>0.011107343239410568</v>
      </c>
      <c r="I19" s="22">
        <v>18716</v>
      </c>
      <c r="J19" s="23">
        <f>SUM(I19/$I$35*0.15)</f>
        <v>0.013988669148093338</v>
      </c>
      <c r="K19" s="23">
        <f>J19+D19+F19+H19</f>
        <v>0.08748713900207926</v>
      </c>
      <c r="L19" s="31">
        <f>ROUND($L$49*K19,0)</f>
        <v>1969794</v>
      </c>
      <c r="M19" s="31">
        <f>ROUND(K19*$M$49,0)</f>
        <v>1890788</v>
      </c>
      <c r="N19" s="36">
        <f>ROUND($N$49*K19,0)</f>
        <v>996550</v>
      </c>
      <c r="O19" s="25">
        <f>ROUND($O$49*K19,0)</f>
        <v>748848</v>
      </c>
      <c r="P19" s="25">
        <f>Admin!L19</f>
        <v>625236</v>
      </c>
      <c r="Q19" s="26">
        <f>Admin!M19</f>
        <v>30472</v>
      </c>
      <c r="R19" s="36">
        <f>SUM(L19:Q19)</f>
        <v>6261688</v>
      </c>
      <c r="S19" s="36">
        <v>6226980</v>
      </c>
      <c r="T19" s="24"/>
      <c r="U19" s="74">
        <f>R19-S19</f>
        <v>34708</v>
      </c>
      <c r="V19" s="84">
        <f>SUM(U19/S19)</f>
        <v>0.005573809454984599</v>
      </c>
      <c r="W19" s="77">
        <f>SUM(L19:O19)</f>
        <v>5605980</v>
      </c>
      <c r="Y19" s="2"/>
    </row>
    <row r="20" spans="1:25" ht="15">
      <c r="A20" s="49"/>
      <c r="D20" s="4"/>
      <c r="F20" s="4"/>
      <c r="L20" s="32"/>
      <c r="M20" s="32"/>
      <c r="N20" s="37"/>
      <c r="O20" s="50"/>
      <c r="P20" s="50"/>
      <c r="Q20" s="3"/>
      <c r="R20" s="37"/>
      <c r="S20" s="37"/>
      <c r="T20" s="3"/>
      <c r="U20" s="75"/>
      <c r="V20" s="80"/>
      <c r="W20" s="77"/>
      <c r="Y20" s="2"/>
    </row>
    <row r="21" spans="1:25" ht="15">
      <c r="A21" s="49"/>
      <c r="B21" t="s">
        <v>19</v>
      </c>
      <c r="C21" s="22">
        <v>378441</v>
      </c>
      <c r="D21" s="23">
        <f>SUM(C21/$C$35*0.35)</f>
        <v>0.03510667227506824</v>
      </c>
      <c r="E21" s="22">
        <v>38824</v>
      </c>
      <c r="F21" s="23">
        <f>SUM(E21/$E$35*0.35)</f>
        <v>0.02831701283897413</v>
      </c>
      <c r="G21" s="22">
        <v>6003</v>
      </c>
      <c r="H21" s="23">
        <f>SUM(G21/$G$35*0.15)</f>
        <v>0.004270632259410852</v>
      </c>
      <c r="I21" s="22">
        <v>17655</v>
      </c>
      <c r="J21" s="23">
        <f>SUM(I21/$I$35*0.15)</f>
        <v>0.013195658998161353</v>
      </c>
      <c r="K21" s="23">
        <f>J21+D21+F21+H21</f>
        <v>0.08088997637161457</v>
      </c>
      <c r="L21" s="31">
        <f>ROUND($L$49*K21,0)</f>
        <v>1821257</v>
      </c>
      <c r="M21" s="31">
        <f>ROUND(K21*$M$49,0)</f>
        <v>1748209</v>
      </c>
      <c r="N21" s="36">
        <f>ROUND($N$49*K21,0)</f>
        <v>921403</v>
      </c>
      <c r="O21" s="25">
        <f>ROUND($O$49*K21,0)</f>
        <v>692379</v>
      </c>
      <c r="P21" s="25">
        <f>Admin!L21</f>
        <v>594533</v>
      </c>
      <c r="Q21" s="24">
        <f>Admin!M21</f>
        <v>28976</v>
      </c>
      <c r="R21" s="36">
        <f>SUM(L21:Q21)</f>
        <v>5806757</v>
      </c>
      <c r="S21" s="36">
        <v>5786225</v>
      </c>
      <c r="T21" s="24"/>
      <c r="U21" s="74">
        <f>R21-S21</f>
        <v>20532</v>
      </c>
      <c r="V21" s="84">
        <f>SUM(U21/S21)</f>
        <v>0.003548427515348954</v>
      </c>
      <c r="W21" s="77">
        <f>SUM(L21:O21)</f>
        <v>5183248</v>
      </c>
      <c r="Y21" s="2"/>
    </row>
    <row r="22" spans="1:25" ht="15">
      <c r="A22" s="49"/>
      <c r="D22" s="4"/>
      <c r="F22" s="4"/>
      <c r="L22" s="32"/>
      <c r="M22" s="32"/>
      <c r="N22" s="37"/>
      <c r="O22" s="50"/>
      <c r="P22" s="50"/>
      <c r="Q22" s="3"/>
      <c r="R22" s="37"/>
      <c r="S22" s="37"/>
      <c r="T22" s="3"/>
      <c r="U22" s="75"/>
      <c r="V22" s="80"/>
      <c r="W22" s="77"/>
      <c r="Y22" s="2"/>
    </row>
    <row r="23" spans="1:25" ht="15">
      <c r="A23" s="49"/>
      <c r="B23" t="s">
        <v>21</v>
      </c>
      <c r="C23" s="22">
        <v>421204</v>
      </c>
      <c r="D23" s="23">
        <f>SUM(C23/$C$35*0.35)</f>
        <v>0.03907364896760088</v>
      </c>
      <c r="E23" s="22">
        <v>56234</v>
      </c>
      <c r="F23" s="23">
        <f>SUM(E23/$E$35*0.35)</f>
        <v>0.041015322995746735</v>
      </c>
      <c r="G23" s="22">
        <v>21884</v>
      </c>
      <c r="H23" s="23">
        <f>SUM(G23/$G$35*0.15)</f>
        <v>0.015568635076619538</v>
      </c>
      <c r="I23" s="22">
        <v>22677</v>
      </c>
      <c r="J23" s="23">
        <f>SUM(I23/$I$35*0.15)</f>
        <v>0.016949190546661285</v>
      </c>
      <c r="K23" s="23">
        <f>J23+D23+F23+H23</f>
        <v>0.11260679758662845</v>
      </c>
      <c r="L23" s="31">
        <f>ROUND($L$49*K23,0)</f>
        <v>2535369</v>
      </c>
      <c r="M23" s="31">
        <f>ROUND(K23*$M$49,0)</f>
        <v>2433679</v>
      </c>
      <c r="N23" s="36">
        <f>ROUND($N$49*K23,0)</f>
        <v>1282683</v>
      </c>
      <c r="O23" s="25">
        <f>ROUND($O$49*K23,0)</f>
        <v>963860</v>
      </c>
      <c r="P23" s="25">
        <f>Admin!L23</f>
        <v>754541</v>
      </c>
      <c r="Q23" s="24">
        <f>Admin!M23</f>
        <v>36774</v>
      </c>
      <c r="R23" s="36">
        <f>SUM(L23:Q23)</f>
        <v>8006906</v>
      </c>
      <c r="S23" s="36">
        <v>7970933</v>
      </c>
      <c r="T23" s="24"/>
      <c r="U23" s="74">
        <f>R23-S23</f>
        <v>35973</v>
      </c>
      <c r="V23" s="84">
        <f>SUM(U23/S23)</f>
        <v>0.004513022503137337</v>
      </c>
      <c r="W23" s="77">
        <f>SUM(L23:O23)</f>
        <v>7215591</v>
      </c>
      <c r="Y23" s="2"/>
    </row>
    <row r="24" spans="1:25" ht="15">
      <c r="A24" s="49"/>
      <c r="D24" s="4"/>
      <c r="F24" s="4"/>
      <c r="L24" s="32"/>
      <c r="M24" s="32"/>
      <c r="N24" s="37"/>
      <c r="O24" s="50"/>
      <c r="P24" s="50"/>
      <c r="Q24" s="3"/>
      <c r="R24" s="37"/>
      <c r="S24" s="37"/>
      <c r="T24" s="3"/>
      <c r="U24" s="75"/>
      <c r="V24" s="80"/>
      <c r="W24" s="77"/>
      <c r="Y24" s="2"/>
    </row>
    <row r="25" spans="1:25" ht="15">
      <c r="A25" s="49"/>
      <c r="B25" t="s">
        <v>26</v>
      </c>
      <c r="C25" s="22">
        <v>344373</v>
      </c>
      <c r="D25" s="23">
        <f>SUM(C25/$C$35*0.35)</f>
        <v>0.03194630088014268</v>
      </c>
      <c r="E25" s="22">
        <v>38241</v>
      </c>
      <c r="F25" s="23">
        <f>SUM(E25/$E$35*0.35)</f>
        <v>0.027891790850381456</v>
      </c>
      <c r="G25" s="22">
        <v>14230</v>
      </c>
      <c r="H25" s="23">
        <f>SUM(G25/$G$35*0.15)</f>
        <v>0.010123454448012065</v>
      </c>
      <c r="I25" s="22">
        <v>17539</v>
      </c>
      <c r="J25" s="23">
        <f>SUM(I25/$I$35*0.15)</f>
        <v>0.013108958548215914</v>
      </c>
      <c r="K25" s="23">
        <f>J25+D25+F25+H25</f>
        <v>0.0830705047267521</v>
      </c>
      <c r="L25" s="31">
        <f>ROUND($L$49*K25,0)</f>
        <v>1870352</v>
      </c>
      <c r="M25" s="31">
        <f>ROUND(K25*$M$49,0)</f>
        <v>1795335</v>
      </c>
      <c r="N25" s="36">
        <f>ROUND($N$49*K25,0)</f>
        <v>946241</v>
      </c>
      <c r="O25" s="25">
        <f>ROUND($O$49*K25,0)</f>
        <v>711043</v>
      </c>
      <c r="P25" s="25">
        <f>Admin!L25</f>
        <v>570440</v>
      </c>
      <c r="Q25" s="24">
        <f>Admin!M25</f>
        <v>27802</v>
      </c>
      <c r="R25" s="36">
        <f>SUM(L25:Q25)</f>
        <v>5921213</v>
      </c>
      <c r="S25" s="36">
        <v>5902439</v>
      </c>
      <c r="T25" s="24"/>
      <c r="U25" s="74">
        <f>R25-S25</f>
        <v>18774</v>
      </c>
      <c r="V25" s="84">
        <f>SUM(U25/S25)</f>
        <v>0.00318071902140793</v>
      </c>
      <c r="W25" s="77">
        <f>SUM(L25:O25)</f>
        <v>5322971</v>
      </c>
      <c r="Y25" s="2"/>
    </row>
    <row r="26" spans="1:25" ht="15">
      <c r="A26" s="49"/>
      <c r="D26" s="4"/>
      <c r="F26" s="4"/>
      <c r="L26" s="32"/>
      <c r="M26" s="32"/>
      <c r="N26" s="37"/>
      <c r="O26" s="50"/>
      <c r="P26" s="50"/>
      <c r="Q26" s="3"/>
      <c r="R26" s="37"/>
      <c r="S26" s="37"/>
      <c r="T26" s="3"/>
      <c r="U26" s="75"/>
      <c r="V26" s="80"/>
      <c r="W26" s="77"/>
      <c r="Y26" s="2"/>
    </row>
    <row r="27" spans="1:25" ht="15">
      <c r="A27" s="49"/>
      <c r="B27" t="s">
        <v>28</v>
      </c>
      <c r="C27" s="22">
        <v>449503</v>
      </c>
      <c r="D27" s="23">
        <f>SUM(C27/$C$35*0.35)</f>
        <v>0.04169885003913424</v>
      </c>
      <c r="E27" s="22">
        <v>35550</v>
      </c>
      <c r="F27" s="23">
        <f>SUM(E27/$E$35*0.35)</f>
        <v>0.025929059510239296</v>
      </c>
      <c r="G27" s="22">
        <v>6265</v>
      </c>
      <c r="H27" s="23">
        <f>SUM(G27/$G$35*0.15)</f>
        <v>0.004457023339198565</v>
      </c>
      <c r="I27" s="22">
        <v>17673</v>
      </c>
      <c r="J27" s="23">
        <f>SUM(I27/$I$35*0.15)</f>
        <v>0.013209112516256335</v>
      </c>
      <c r="K27" s="23">
        <f>J27+D27+F27+H27</f>
        <v>0.08529404540482843</v>
      </c>
      <c r="L27" s="31">
        <f>ROUND($L$49*K27,0)</f>
        <v>1920416</v>
      </c>
      <c r="M27" s="31">
        <f>ROUND(K27*$M$49,0)</f>
        <v>1843391</v>
      </c>
      <c r="N27" s="36">
        <f>ROUND($N$49*K27,0)</f>
        <v>971569</v>
      </c>
      <c r="O27" s="25">
        <f>ROUND($O$49*K27,0)</f>
        <v>730076</v>
      </c>
      <c r="P27" s="25">
        <f>Admin!L27</f>
        <v>653752</v>
      </c>
      <c r="Q27" s="24">
        <f>Admin!M27</f>
        <v>31862</v>
      </c>
      <c r="R27" s="36">
        <f>SUM(L27:Q27)</f>
        <v>6151066</v>
      </c>
      <c r="S27" s="36">
        <v>6137568</v>
      </c>
      <c r="T27" s="24"/>
      <c r="U27" s="74">
        <f>R27-S27</f>
        <v>13498</v>
      </c>
      <c r="V27" s="84">
        <f>SUM(U27/S27)</f>
        <v>0.0021992424360919504</v>
      </c>
      <c r="W27" s="77">
        <f>SUM(L27:O27)</f>
        <v>5465452</v>
      </c>
      <c r="Y27" s="2"/>
    </row>
    <row r="28" spans="1:25" ht="15">
      <c r="A28" s="49"/>
      <c r="D28" s="4"/>
      <c r="F28" s="4"/>
      <c r="L28" s="32"/>
      <c r="M28" s="32"/>
      <c r="N28" s="37"/>
      <c r="O28" s="50"/>
      <c r="P28" s="50"/>
      <c r="Q28" s="3"/>
      <c r="R28" s="37"/>
      <c r="S28" s="37"/>
      <c r="T28" s="3"/>
      <c r="U28" s="75"/>
      <c r="V28" s="80"/>
      <c r="W28" s="77"/>
      <c r="Y28" s="2"/>
    </row>
    <row r="29" spans="1:25" ht="15">
      <c r="A29" s="49"/>
      <c r="B29" t="s">
        <v>29</v>
      </c>
      <c r="C29" s="22">
        <v>481126</v>
      </c>
      <c r="D29" s="23">
        <f>SUM(C29/$C$35*0.35)</f>
        <v>0.04463240717843596</v>
      </c>
      <c r="E29" s="22">
        <v>45763</v>
      </c>
      <c r="F29" s="23">
        <f>SUM(E29/$E$35*0.35)</f>
        <v>0.0333781026826183</v>
      </c>
      <c r="G29" s="22">
        <v>12603</v>
      </c>
      <c r="H29" s="23">
        <f>SUM(G29/$G$35*0.15)</f>
        <v>0.008965980070857067</v>
      </c>
      <c r="I29" s="22">
        <v>20733</v>
      </c>
      <c r="J29" s="23">
        <f>SUM(I29/$I$35*0.15)</f>
        <v>0.015496210592403244</v>
      </c>
      <c r="K29" s="23">
        <f>J29+D29+F29+H29</f>
        <v>0.10247270052431458</v>
      </c>
      <c r="L29" s="31">
        <f>ROUND($L$49*K29,0)</f>
        <v>2307198</v>
      </c>
      <c r="M29" s="31">
        <f>ROUND(K29*$M$49,0)</f>
        <v>2214659</v>
      </c>
      <c r="N29" s="36">
        <f>ROUND($N$49*K29,0)</f>
        <v>1167247</v>
      </c>
      <c r="O29" s="25">
        <f>ROUND($O$49*K29,0)</f>
        <v>877117</v>
      </c>
      <c r="P29" s="25">
        <f>Admin!L29</f>
        <v>718298</v>
      </c>
      <c r="Q29" s="24">
        <f>Admin!M29</f>
        <v>35008</v>
      </c>
      <c r="R29" s="36">
        <f>SUM(L29:Q29)</f>
        <v>7319527</v>
      </c>
      <c r="S29" s="36">
        <v>7333852</v>
      </c>
      <c r="T29" s="24"/>
      <c r="U29" s="74">
        <f>R29-S29</f>
        <v>-14325</v>
      </c>
      <c r="V29" s="84">
        <f>SUM(U29/S29)</f>
        <v>-0.0019532709413825093</v>
      </c>
      <c r="W29" s="77">
        <f>SUM(L29:O29)</f>
        <v>6566221</v>
      </c>
      <c r="Y29" s="2"/>
    </row>
    <row r="30" spans="1:25" ht="15">
      <c r="A30" s="49"/>
      <c r="D30" s="4"/>
      <c r="F30" s="4"/>
      <c r="L30" s="32"/>
      <c r="M30" s="32"/>
      <c r="N30" s="37"/>
      <c r="O30" s="50"/>
      <c r="P30" s="50"/>
      <c r="Q30" s="3"/>
      <c r="R30" s="37"/>
      <c r="S30" s="37"/>
      <c r="T30" s="3"/>
      <c r="U30" s="75"/>
      <c r="V30" s="80"/>
      <c r="W30" s="77"/>
      <c r="Y30" s="2"/>
    </row>
    <row r="31" spans="1:25" ht="15">
      <c r="A31" s="49"/>
      <c r="B31" t="s">
        <v>11</v>
      </c>
      <c r="C31" s="22">
        <v>338417</v>
      </c>
      <c r="D31" s="23">
        <f>SUM(C31/$C$35*0.35)</f>
        <v>0.03139378320877434</v>
      </c>
      <c r="E31" s="22">
        <v>40324</v>
      </c>
      <c r="F31" s="23">
        <f>SUM(E31/$E$35*0.35)</f>
        <v>0.02941106598286608</v>
      </c>
      <c r="G31" s="22">
        <v>13428</v>
      </c>
      <c r="H31" s="23">
        <f>SUM(G31/$G$35*0.15)</f>
        <v>0.009552898547287844</v>
      </c>
      <c r="I31" s="22">
        <v>19131</v>
      </c>
      <c r="J31" s="23">
        <f>SUM(I31/$I$35*0.15)</f>
        <v>0.014298847481949862</v>
      </c>
      <c r="K31" s="23">
        <f>J31+D31+F31+H31</f>
        <v>0.08465659522087812</v>
      </c>
      <c r="L31" s="31">
        <f>ROUND($L$49*K31,0)</f>
        <v>1906064</v>
      </c>
      <c r="M31" s="31">
        <f>ROUND(K31*$M$49,0)</f>
        <v>1829614</v>
      </c>
      <c r="N31" s="36">
        <f>ROUND($N$49*K31,0)</f>
        <v>964307</v>
      </c>
      <c r="O31" s="25">
        <f>ROUND($O$49*K31,0)</f>
        <v>724619</v>
      </c>
      <c r="P31" s="25">
        <f>Admin!L31</f>
        <v>583432</v>
      </c>
      <c r="Q31" s="24">
        <f>Admin!M31</f>
        <v>28435</v>
      </c>
      <c r="R31" s="36">
        <f>SUM(L31:Q31)</f>
        <v>6036471</v>
      </c>
      <c r="S31" s="36">
        <v>6020249</v>
      </c>
      <c r="T31" s="24"/>
      <c r="U31" s="74">
        <f>R31-S31</f>
        <v>16222</v>
      </c>
      <c r="V31" s="84">
        <f>SUM(U31/S31)</f>
        <v>0.0026945729321162628</v>
      </c>
      <c r="W31" s="77">
        <f>SUM(L31:O31)</f>
        <v>5424604</v>
      </c>
      <c r="Y31" s="2"/>
    </row>
    <row r="32" spans="1:25" ht="15">
      <c r="A32" s="49"/>
      <c r="D32" s="4"/>
      <c r="F32" s="4"/>
      <c r="L32" s="32"/>
      <c r="M32" s="32"/>
      <c r="N32" s="37"/>
      <c r="O32" s="50"/>
      <c r="P32" s="50"/>
      <c r="Q32" s="3"/>
      <c r="R32" s="37"/>
      <c r="S32" s="37"/>
      <c r="T32" s="3"/>
      <c r="U32" s="75"/>
      <c r="V32" s="80"/>
      <c r="W32" s="77"/>
      <c r="Y32" s="2"/>
    </row>
    <row r="33" spans="1:25" ht="15">
      <c r="A33" s="27"/>
      <c r="B33" s="28" t="s">
        <v>12</v>
      </c>
      <c r="C33" s="22">
        <v>430159</v>
      </c>
      <c r="D33" s="23">
        <f>SUM(C33/$C$35*0.35)</f>
        <v>0.039904373572554455</v>
      </c>
      <c r="E33" s="22">
        <v>88720</v>
      </c>
      <c r="F33" s="23">
        <f>SUM(E33/$E$35*0.35)</f>
        <v>0.06470959661739606</v>
      </c>
      <c r="G33" s="22">
        <v>94851</v>
      </c>
      <c r="H33" s="23">
        <f>SUM(G33/$G$35*0.15)</f>
        <v>0.0674785507974977</v>
      </c>
      <c r="I33" s="22">
        <v>31293</v>
      </c>
      <c r="J33" s="23">
        <f>SUM(I33/$I$35*0.15)</f>
        <v>0.023388941208125926</v>
      </c>
      <c r="K33" s="23">
        <f>J33+D33+F33+H33</f>
        <v>0.19548146219557416</v>
      </c>
      <c r="L33" s="31">
        <f>ROUND($L$49*K33,0)</f>
        <v>4401312</v>
      </c>
      <c r="M33" s="31">
        <f>ROUND(K33*$M$49,0)+2</f>
        <v>4224784</v>
      </c>
      <c r="N33" s="36">
        <f>ROUND($N$49*K33,0)-1</f>
        <v>2226692</v>
      </c>
      <c r="O33" s="25">
        <f>ROUND($O$49*K33,0)-1</f>
        <v>1673226</v>
      </c>
      <c r="P33" s="25">
        <f>Admin!L33</f>
        <v>1107157</v>
      </c>
      <c r="Q33" s="24">
        <f>Admin!M33</f>
        <v>53960</v>
      </c>
      <c r="R33" s="36">
        <f>SUM(L33:Q33)</f>
        <v>13687131</v>
      </c>
      <c r="S33" s="36">
        <v>13719120</v>
      </c>
      <c r="T33" s="24"/>
      <c r="U33" s="74">
        <f>R33-S33</f>
        <v>-31989</v>
      </c>
      <c r="V33" s="84">
        <f>SUM(U33/S33)</f>
        <v>-0.0023317093224638316</v>
      </c>
      <c r="W33" s="77">
        <f>SUM(L33:O33)</f>
        <v>12526014</v>
      </c>
      <c r="Y33" s="2"/>
    </row>
    <row r="34" spans="1:25" ht="15">
      <c r="A34" s="49"/>
      <c r="L34" s="32"/>
      <c r="M34" s="32"/>
      <c r="N34" s="37"/>
      <c r="O34" s="50"/>
      <c r="P34" s="50"/>
      <c r="Q34" s="3"/>
      <c r="R34" s="37"/>
      <c r="S34" s="37"/>
      <c r="T34" s="3"/>
      <c r="U34" s="75"/>
      <c r="V34" s="80"/>
      <c r="W34" s="77"/>
      <c r="Y34" s="2"/>
    </row>
    <row r="35" spans="1:26" ht="15">
      <c r="A35" s="49"/>
      <c r="B35" t="s">
        <v>84</v>
      </c>
      <c r="C35" s="2">
        <f aca="true" t="shared" si="0" ref="C35:S35">SUM(C13:C33)</f>
        <v>3772911</v>
      </c>
      <c r="D35" s="4">
        <f t="shared" si="0"/>
        <v>0.3499999999999999</v>
      </c>
      <c r="E35" s="2">
        <f t="shared" si="0"/>
        <v>479867</v>
      </c>
      <c r="F35" s="4">
        <f t="shared" si="0"/>
        <v>0.35</v>
      </c>
      <c r="G35" s="2">
        <f t="shared" si="0"/>
        <v>210847</v>
      </c>
      <c r="H35" s="4">
        <f t="shared" si="0"/>
        <v>0.14999999999999997</v>
      </c>
      <c r="I35" s="2">
        <f t="shared" si="0"/>
        <v>200691</v>
      </c>
      <c r="J35" s="4">
        <f t="shared" si="0"/>
        <v>0.15000000000000002</v>
      </c>
      <c r="K35" s="4">
        <f t="shared" si="0"/>
        <v>0.9999999999999999</v>
      </c>
      <c r="L35" s="32">
        <f t="shared" si="0"/>
        <v>22515241</v>
      </c>
      <c r="M35" s="32">
        <f t="shared" si="0"/>
        <v>21612187</v>
      </c>
      <c r="N35" s="37">
        <f t="shared" si="0"/>
        <v>11390813</v>
      </c>
      <c r="O35" s="50">
        <f t="shared" si="0"/>
        <v>8559516</v>
      </c>
      <c r="P35" s="50">
        <f t="shared" si="0"/>
        <v>7119751</v>
      </c>
      <c r="Q35" s="3">
        <f t="shared" si="0"/>
        <v>346998</v>
      </c>
      <c r="R35" s="37">
        <f t="shared" si="0"/>
        <v>71544506</v>
      </c>
      <c r="S35" s="37">
        <f t="shared" si="0"/>
        <v>71425666</v>
      </c>
      <c r="T35" s="3"/>
      <c r="U35" s="75">
        <f>SUM(U13:U33)</f>
        <v>118840</v>
      </c>
      <c r="V35" s="81">
        <f>SUM(U35/S35)</f>
        <v>0.0016638276778546243</v>
      </c>
      <c r="W35" s="78">
        <f>SUM(W13:W33)</f>
        <v>64077757</v>
      </c>
      <c r="X35" s="3"/>
      <c r="Y35" s="2"/>
      <c r="Z35" s="3"/>
    </row>
    <row r="36" spans="1:25" ht="15.75" thickBo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33"/>
      <c r="M36" s="33"/>
      <c r="N36" s="38"/>
      <c r="O36" s="54"/>
      <c r="P36" s="54"/>
      <c r="Q36" s="53"/>
      <c r="R36" s="38"/>
      <c r="S36" s="38"/>
      <c r="T36" s="53"/>
      <c r="U36" s="76"/>
      <c r="V36" s="82"/>
      <c r="W36" s="65"/>
      <c r="Y36" s="2"/>
    </row>
    <row r="37" spans="3:25" ht="15">
      <c r="C37" t="s">
        <v>68</v>
      </c>
      <c r="H37" s="4"/>
      <c r="J37" s="4"/>
      <c r="L37" s="3"/>
      <c r="Q37" s="3"/>
      <c r="U37" s="68"/>
      <c r="V37" s="68"/>
      <c r="Y37" s="2"/>
    </row>
    <row r="38" spans="12:17" ht="15">
      <c r="L38" s="3"/>
      <c r="Q38" s="3"/>
    </row>
    <row r="39" spans="2:12" ht="15">
      <c r="B39" t="s">
        <v>78</v>
      </c>
      <c r="L39" s="3"/>
    </row>
    <row r="40" spans="10:18" ht="15">
      <c r="J40" s="4"/>
      <c r="L40" s="3"/>
      <c r="P40" t="s">
        <v>93</v>
      </c>
      <c r="R40" s="7"/>
    </row>
    <row r="41" ht="15">
      <c r="C41" t="s">
        <v>15</v>
      </c>
    </row>
    <row r="42" spans="3:18" ht="15">
      <c r="C42" t="s">
        <v>64</v>
      </c>
      <c r="L42" s="3"/>
      <c r="R42" s="86" t="s">
        <v>94</v>
      </c>
    </row>
    <row r="43" spans="3:18" ht="15">
      <c r="C43" t="s">
        <v>66</v>
      </c>
      <c r="R43" s="7"/>
    </row>
    <row r="46" ht="15">
      <c r="M46" t="s">
        <v>2</v>
      </c>
    </row>
    <row r="49" spans="12:15" ht="15">
      <c r="L49">
        <v>22515241</v>
      </c>
      <c r="M49">
        <v>21612187</v>
      </c>
      <c r="N49">
        <v>11390813</v>
      </c>
      <c r="O49">
        <v>8559516</v>
      </c>
    </row>
    <row r="61" spans="3:16" ht="15">
      <c r="C61" s="3"/>
      <c r="D61" s="3"/>
      <c r="E61" s="3"/>
      <c r="F61" s="3"/>
      <c r="G61" s="3"/>
      <c r="H61" s="3"/>
      <c r="K61" s="3"/>
      <c r="M61" s="3"/>
      <c r="N61" s="3"/>
      <c r="O61" s="3"/>
      <c r="P61" s="3"/>
    </row>
    <row r="62" spans="5:11" ht="15">
      <c r="E62" s="3"/>
      <c r="F62" s="3"/>
      <c r="H62" s="3"/>
      <c r="K62" s="3"/>
    </row>
    <row r="63" spans="3:16" ht="15">
      <c r="C63" s="3"/>
      <c r="D63" s="3"/>
      <c r="E63" s="3"/>
      <c r="F63" s="3"/>
      <c r="G63" s="3"/>
      <c r="H63" s="3"/>
      <c r="K63" s="3"/>
      <c r="M63" s="3"/>
      <c r="N63" s="3"/>
      <c r="O63" s="3"/>
      <c r="P63" s="3"/>
    </row>
    <row r="64" spans="4:11" ht="15">
      <c r="D64" s="3"/>
      <c r="E64" s="3"/>
      <c r="H64" s="3"/>
      <c r="K64" s="3"/>
    </row>
    <row r="65" spans="3:16" ht="15">
      <c r="C65" s="3"/>
      <c r="D65" s="3"/>
      <c r="E65" s="3"/>
      <c r="F65" s="3"/>
      <c r="G65" s="3"/>
      <c r="H65" s="3"/>
      <c r="K65" s="3"/>
      <c r="M65" s="3"/>
      <c r="N65" s="3"/>
      <c r="O65" s="3"/>
      <c r="P65" s="3"/>
    </row>
    <row r="66" spans="4:11" ht="15">
      <c r="D66" s="3"/>
      <c r="E66" s="3"/>
      <c r="F66" s="3"/>
      <c r="H66" s="3"/>
      <c r="K66" s="3"/>
    </row>
    <row r="67" spans="3:16" ht="15">
      <c r="C67" s="3"/>
      <c r="D67" s="3"/>
      <c r="E67" s="3"/>
      <c r="F67" s="3"/>
      <c r="G67" s="3"/>
      <c r="H67" s="3"/>
      <c r="K67" s="3"/>
      <c r="M67" s="3"/>
      <c r="N67" s="3"/>
      <c r="O67" s="3"/>
      <c r="P67" s="3"/>
    </row>
    <row r="68" spans="4:11" ht="15">
      <c r="D68" s="3"/>
      <c r="E68" s="3"/>
      <c r="H68" s="3"/>
      <c r="K68" s="3"/>
    </row>
    <row r="69" spans="3:16" ht="15">
      <c r="C69" s="3"/>
      <c r="D69" s="3"/>
      <c r="E69" s="3"/>
      <c r="F69" s="3"/>
      <c r="G69" s="3"/>
      <c r="H69" s="3"/>
      <c r="K69" s="3"/>
      <c r="M69" s="3"/>
      <c r="N69" s="3"/>
      <c r="O69" s="3"/>
      <c r="P69" s="3"/>
    </row>
    <row r="70" spans="4:11" ht="15">
      <c r="D70" s="3"/>
      <c r="E70" s="3"/>
      <c r="F70" s="3"/>
      <c r="H70" s="3"/>
      <c r="K70" s="3"/>
    </row>
    <row r="71" spans="3:16" ht="15">
      <c r="C71" s="3"/>
      <c r="D71" s="3"/>
      <c r="E71" s="3"/>
      <c r="F71" s="3"/>
      <c r="G71" s="3"/>
      <c r="H71" s="3"/>
      <c r="K71" s="3"/>
      <c r="M71" s="3"/>
      <c r="N71" s="3"/>
      <c r="O71" s="3"/>
      <c r="P71" s="3"/>
    </row>
    <row r="72" spans="4:11" ht="15">
      <c r="D72" s="3"/>
      <c r="E72" s="3"/>
      <c r="H72" s="3"/>
      <c r="K72" s="3"/>
    </row>
    <row r="73" spans="3:16" ht="15">
      <c r="C73" s="3"/>
      <c r="D73" s="3"/>
      <c r="E73" s="3"/>
      <c r="F73" s="3"/>
      <c r="G73" s="3"/>
      <c r="H73" s="3"/>
      <c r="K73" s="3"/>
      <c r="M73" s="3"/>
      <c r="N73" s="3"/>
      <c r="O73" s="3"/>
      <c r="P73" s="3"/>
    </row>
    <row r="74" spans="4:11" ht="15">
      <c r="D74" s="3"/>
      <c r="E74" s="3"/>
      <c r="F74" s="3"/>
      <c r="H74" s="3"/>
      <c r="K74" s="3"/>
    </row>
    <row r="75" spans="3:16" ht="15">
      <c r="C75" s="3"/>
      <c r="D75" s="3"/>
      <c r="E75" s="3"/>
      <c r="F75" s="3"/>
      <c r="G75" s="3"/>
      <c r="H75" s="3"/>
      <c r="K75" s="3"/>
      <c r="M75" s="3"/>
      <c r="N75" s="3"/>
      <c r="O75" s="3"/>
      <c r="P75" s="3"/>
    </row>
    <row r="76" spans="4:11" ht="15">
      <c r="D76" s="3"/>
      <c r="E76" s="3"/>
      <c r="H76" s="3"/>
      <c r="K76" s="3"/>
    </row>
    <row r="77" spans="3:16" ht="15">
      <c r="C77" s="3"/>
      <c r="D77" s="3"/>
      <c r="E77" s="3"/>
      <c r="F77" s="3"/>
      <c r="G77" s="3"/>
      <c r="H77" s="3"/>
      <c r="K77" s="3"/>
      <c r="M77" s="3"/>
      <c r="N77" s="3"/>
      <c r="O77" s="3"/>
      <c r="P77" s="3"/>
    </row>
    <row r="78" spans="4:11" ht="15">
      <c r="D78" s="3"/>
      <c r="E78" s="3"/>
      <c r="H78" s="3"/>
      <c r="K78" s="3"/>
    </row>
    <row r="79" spans="3:16" ht="15">
      <c r="C79" s="3"/>
      <c r="D79" s="3"/>
      <c r="E79" s="3"/>
      <c r="F79" s="3"/>
      <c r="G79" s="3"/>
      <c r="H79" s="3"/>
      <c r="K79" s="3"/>
      <c r="M79" s="3"/>
      <c r="N79" s="3"/>
      <c r="O79" s="3"/>
      <c r="P79" s="3"/>
    </row>
    <row r="80" spans="4:11" ht="15">
      <c r="D80" s="3"/>
      <c r="E80" s="3"/>
      <c r="F80" s="3"/>
      <c r="H80" s="3"/>
      <c r="K80" s="3"/>
    </row>
    <row r="81" spans="3:16" ht="15">
      <c r="C81" s="3"/>
      <c r="D81" s="3"/>
      <c r="E81" s="3"/>
      <c r="F81" s="3"/>
      <c r="G81" s="3"/>
      <c r="H81" s="3"/>
      <c r="K81" s="3"/>
      <c r="M81" s="3"/>
      <c r="N81" s="3"/>
      <c r="O81" s="3"/>
      <c r="P81" s="3"/>
    </row>
    <row r="82" spans="4:13" ht="15">
      <c r="D82" s="3"/>
      <c r="E82" s="3"/>
      <c r="H82" s="3"/>
      <c r="K82" s="3"/>
      <c r="M82" s="3"/>
    </row>
    <row r="83" spans="3:16" ht="15">
      <c r="C83" s="3"/>
      <c r="D83" s="3"/>
      <c r="E83" s="3"/>
      <c r="F83" s="3"/>
      <c r="G83" s="3"/>
      <c r="H83" s="3"/>
      <c r="K83" s="3"/>
      <c r="M83" s="3"/>
      <c r="N83" s="3"/>
      <c r="O83" s="3"/>
      <c r="P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4" ht="15">
      <c r="M104" s="3"/>
    </row>
    <row r="106" ht="15">
      <c r="M106" s="3"/>
    </row>
    <row r="107" ht="15">
      <c r="M107" s="3"/>
    </row>
    <row r="108" ht="15">
      <c r="M108" s="3"/>
    </row>
    <row r="109" spans="12:13" ht="15">
      <c r="L109" s="3"/>
      <c r="M109" s="3"/>
    </row>
    <row r="110" spans="12:13" ht="15">
      <c r="L110" s="3"/>
      <c r="M110" s="3"/>
    </row>
    <row r="111" spans="12:13" ht="15">
      <c r="L111" s="3"/>
      <c r="M111" s="3"/>
    </row>
    <row r="112" spans="12:13" ht="15">
      <c r="L112" s="3"/>
      <c r="M112" s="3"/>
    </row>
    <row r="113" spans="3:25" ht="15">
      <c r="C113" s="3"/>
      <c r="D113" s="2"/>
      <c r="E113" s="4"/>
      <c r="F113" s="2"/>
      <c r="G113" s="4"/>
      <c r="H113" s="3"/>
      <c r="I113" s="4"/>
      <c r="J113" s="4"/>
      <c r="K113" s="3"/>
      <c r="L113" s="3"/>
      <c r="M113" s="3"/>
      <c r="N113" s="3"/>
      <c r="O113" s="3"/>
      <c r="P113" s="3"/>
      <c r="R113" s="3"/>
      <c r="S113" s="3"/>
      <c r="W113" s="5"/>
      <c r="Y113" s="5"/>
    </row>
    <row r="114" spans="3:23" ht="15">
      <c r="C114" s="3"/>
      <c r="D114" s="2"/>
      <c r="E114" s="4"/>
      <c r="F114" s="2"/>
      <c r="G114" s="4"/>
      <c r="H114" s="3"/>
      <c r="I114" s="4"/>
      <c r="J114" s="4"/>
      <c r="L114" s="3"/>
      <c r="M114" s="3"/>
      <c r="P114" s="3"/>
      <c r="W114" s="5"/>
    </row>
    <row r="115" spans="3:25" ht="15">
      <c r="C115" s="3"/>
      <c r="D115" s="2"/>
      <c r="E115" s="4"/>
      <c r="F115" s="2"/>
      <c r="G115" s="4"/>
      <c r="H115" s="3"/>
      <c r="I115" s="4"/>
      <c r="J115" s="4"/>
      <c r="K115" s="3"/>
      <c r="L115" s="3"/>
      <c r="M115" s="3"/>
      <c r="N115" s="3"/>
      <c r="O115" s="3"/>
      <c r="P115" s="3"/>
      <c r="R115" s="3"/>
      <c r="S115" s="3"/>
      <c r="W115" s="5"/>
      <c r="Y115" s="5"/>
    </row>
    <row r="116" spans="3:23" ht="15">
      <c r="C116" s="3"/>
      <c r="D116" s="2"/>
      <c r="E116" s="4"/>
      <c r="F116" s="2"/>
      <c r="G116" s="4"/>
      <c r="H116" s="3"/>
      <c r="I116" s="4"/>
      <c r="J116" s="4"/>
      <c r="L116" s="3"/>
      <c r="M116" s="3"/>
      <c r="P116" s="3"/>
      <c r="W116" s="5"/>
    </row>
    <row r="117" spans="3:25" ht="15">
      <c r="C117" s="3"/>
      <c r="D117" s="2"/>
      <c r="E117" s="4"/>
      <c r="F117" s="2"/>
      <c r="G117" s="4"/>
      <c r="H117" s="3"/>
      <c r="I117" s="4"/>
      <c r="J117" s="4"/>
      <c r="K117" s="3"/>
      <c r="L117" s="3"/>
      <c r="M117" s="3"/>
      <c r="N117" s="3"/>
      <c r="O117" s="3"/>
      <c r="P117" s="3"/>
      <c r="R117" s="3"/>
      <c r="S117" s="3"/>
      <c r="W117" s="5"/>
      <c r="Y117" s="5"/>
    </row>
    <row r="118" spans="3:23" ht="15">
      <c r="C118" s="3"/>
      <c r="D118" s="2"/>
      <c r="E118" s="4"/>
      <c r="F118" s="2"/>
      <c r="G118" s="4"/>
      <c r="H118" s="3"/>
      <c r="I118" s="4"/>
      <c r="J118" s="4"/>
      <c r="L118" s="3"/>
      <c r="M118" s="3"/>
      <c r="P118" s="3"/>
      <c r="W118" s="5"/>
    </row>
    <row r="119" spans="3:25" ht="15">
      <c r="C119" s="3"/>
      <c r="D119" s="2"/>
      <c r="E119" s="4"/>
      <c r="F119" s="2"/>
      <c r="G119" s="4"/>
      <c r="H119" s="3"/>
      <c r="I119" s="4"/>
      <c r="J119" s="4"/>
      <c r="K119" s="3"/>
      <c r="L119" s="3"/>
      <c r="M119" s="3"/>
      <c r="N119" s="3"/>
      <c r="O119" s="3"/>
      <c r="P119" s="3"/>
      <c r="R119" s="3"/>
      <c r="S119" s="3"/>
      <c r="W119" s="5"/>
      <c r="Y119" s="5"/>
    </row>
    <row r="120" spans="3:16" ht="15">
      <c r="C120" s="3"/>
      <c r="D120" s="2"/>
      <c r="E120" s="4"/>
      <c r="F120" s="2"/>
      <c r="G120" s="4"/>
      <c r="H120" s="3"/>
      <c r="I120" s="4"/>
      <c r="J120" s="4"/>
      <c r="L120" s="3"/>
      <c r="M120" s="3"/>
      <c r="P120" s="3"/>
    </row>
    <row r="121" spans="3:25" ht="15">
      <c r="C121" s="3"/>
      <c r="D121" s="2"/>
      <c r="E121" s="4"/>
      <c r="F121" s="2"/>
      <c r="G121" s="4"/>
      <c r="H121" s="3"/>
      <c r="I121" s="4"/>
      <c r="J121" s="4"/>
      <c r="K121" s="3"/>
      <c r="L121" s="3"/>
      <c r="M121" s="3"/>
      <c r="N121" s="3"/>
      <c r="O121" s="3"/>
      <c r="P121" s="3"/>
      <c r="R121" s="3"/>
      <c r="S121" s="3"/>
      <c r="W121" s="5"/>
      <c r="Y121" s="5"/>
    </row>
    <row r="122" spans="3:23" ht="15">
      <c r="C122" s="3"/>
      <c r="D122" s="2"/>
      <c r="E122" s="4"/>
      <c r="F122" s="2"/>
      <c r="G122" s="4"/>
      <c r="H122" s="3"/>
      <c r="I122" s="4"/>
      <c r="J122" s="4"/>
      <c r="L122" s="3"/>
      <c r="M122" s="3"/>
      <c r="P122" s="3"/>
      <c r="W122" s="5"/>
    </row>
    <row r="123" spans="3:25" ht="15">
      <c r="C123" s="3"/>
      <c r="D123" s="2"/>
      <c r="E123" s="4"/>
      <c r="F123" s="2"/>
      <c r="G123" s="4"/>
      <c r="H123" s="3"/>
      <c r="I123" s="4"/>
      <c r="J123" s="4"/>
      <c r="K123" s="3"/>
      <c r="L123" s="3"/>
      <c r="M123" s="3"/>
      <c r="N123" s="3"/>
      <c r="O123" s="3"/>
      <c r="P123" s="3"/>
      <c r="R123" s="3"/>
      <c r="S123" s="3"/>
      <c r="W123" s="5"/>
      <c r="Y123" s="5"/>
    </row>
    <row r="124" spans="3:23" ht="15">
      <c r="C124" s="3"/>
      <c r="D124" s="2"/>
      <c r="E124" s="4"/>
      <c r="F124" s="2"/>
      <c r="G124" s="4"/>
      <c r="H124" s="3"/>
      <c r="I124" s="4"/>
      <c r="J124" s="4"/>
      <c r="L124" s="3"/>
      <c r="M124" s="3"/>
      <c r="P124" s="3"/>
      <c r="W124" s="5"/>
    </row>
    <row r="125" spans="3:25" ht="15">
      <c r="C125" s="3"/>
      <c r="D125" s="2"/>
      <c r="E125" s="4"/>
      <c r="F125" s="2"/>
      <c r="G125" s="4"/>
      <c r="H125" s="3"/>
      <c r="I125" s="4"/>
      <c r="J125" s="4"/>
      <c r="K125" s="3"/>
      <c r="L125" s="3"/>
      <c r="M125" s="3"/>
      <c r="N125" s="3"/>
      <c r="O125" s="3"/>
      <c r="P125" s="3"/>
      <c r="R125" s="3"/>
      <c r="S125" s="3"/>
      <c r="W125" s="5"/>
      <c r="Y125" s="5"/>
    </row>
    <row r="126" spans="3:23" ht="15">
      <c r="C126" s="3"/>
      <c r="D126" s="2"/>
      <c r="E126" s="4"/>
      <c r="F126" s="2"/>
      <c r="G126" s="4"/>
      <c r="H126" s="3"/>
      <c r="I126" s="4"/>
      <c r="J126" s="4"/>
      <c r="L126" s="3"/>
      <c r="M126" s="3"/>
      <c r="P126" s="3"/>
      <c r="W126" s="5"/>
    </row>
    <row r="127" spans="3:25" ht="15">
      <c r="C127" s="3"/>
      <c r="D127" s="2"/>
      <c r="E127" s="4"/>
      <c r="F127" s="2"/>
      <c r="G127" s="4"/>
      <c r="H127" s="3"/>
      <c r="I127" s="4"/>
      <c r="J127" s="4"/>
      <c r="K127" s="3"/>
      <c r="L127" s="3"/>
      <c r="M127" s="3"/>
      <c r="N127" s="3"/>
      <c r="O127" s="3"/>
      <c r="P127" s="3"/>
      <c r="R127" s="3"/>
      <c r="S127" s="3"/>
      <c r="W127" s="5"/>
      <c r="Y127" s="5"/>
    </row>
    <row r="128" spans="3:16" ht="15">
      <c r="C128" s="3"/>
      <c r="D128" s="2"/>
      <c r="E128" s="4"/>
      <c r="F128" s="2"/>
      <c r="G128" s="4"/>
      <c r="H128" s="3"/>
      <c r="I128" s="4"/>
      <c r="J128" s="4"/>
      <c r="L128" s="3"/>
      <c r="M128" s="3"/>
      <c r="P128" s="3"/>
    </row>
    <row r="129" spans="3:25" ht="15">
      <c r="C129" s="3"/>
      <c r="D129" s="2"/>
      <c r="E129" s="4"/>
      <c r="F129" s="2"/>
      <c r="G129" s="4"/>
      <c r="H129" s="3"/>
      <c r="I129" s="4"/>
      <c r="J129" s="4"/>
      <c r="K129" s="3"/>
      <c r="L129" s="3"/>
      <c r="M129" s="3"/>
      <c r="N129" s="3"/>
      <c r="O129" s="3"/>
      <c r="P129" s="3"/>
      <c r="R129" s="3"/>
      <c r="S129" s="3"/>
      <c r="W129" s="5"/>
      <c r="Y129" s="5"/>
    </row>
    <row r="130" spans="3:23" ht="15">
      <c r="C130" s="3"/>
      <c r="D130" s="2"/>
      <c r="E130" s="4"/>
      <c r="F130" s="2"/>
      <c r="G130" s="4"/>
      <c r="H130" s="3"/>
      <c r="I130" s="4"/>
      <c r="J130" s="4"/>
      <c r="L130" s="3"/>
      <c r="M130" s="3"/>
      <c r="P130" s="3"/>
      <c r="W130" s="5"/>
    </row>
    <row r="131" spans="3:25" ht="15">
      <c r="C131" s="3"/>
      <c r="D131" s="2"/>
      <c r="E131" s="4"/>
      <c r="F131" s="2"/>
      <c r="G131" s="4"/>
      <c r="H131" s="3"/>
      <c r="I131" s="4"/>
      <c r="J131" s="4"/>
      <c r="K131" s="3"/>
      <c r="L131" s="3"/>
      <c r="M131" s="3"/>
      <c r="N131" s="3"/>
      <c r="O131" s="3"/>
      <c r="P131" s="3"/>
      <c r="R131" s="3"/>
      <c r="S131" s="3"/>
      <c r="W131" s="5"/>
      <c r="Y131" s="5"/>
    </row>
    <row r="132" spans="3:23" ht="15">
      <c r="C132" s="3"/>
      <c r="D132" s="2"/>
      <c r="E132" s="4"/>
      <c r="F132" s="2"/>
      <c r="G132" s="4"/>
      <c r="H132" s="3"/>
      <c r="I132" s="4"/>
      <c r="J132" s="4"/>
      <c r="L132" s="3"/>
      <c r="M132" s="3"/>
      <c r="P132" s="3"/>
      <c r="W132" s="5"/>
    </row>
    <row r="133" spans="3:25" ht="15">
      <c r="C133" s="3"/>
      <c r="D133" s="2"/>
      <c r="E133" s="4"/>
      <c r="F133" s="2"/>
      <c r="G133" s="4"/>
      <c r="H133" s="3"/>
      <c r="I133" s="4"/>
      <c r="J133" s="4"/>
      <c r="K133" s="3"/>
      <c r="L133" s="3"/>
      <c r="M133" s="3"/>
      <c r="N133" s="3"/>
      <c r="O133" s="3"/>
      <c r="P133" s="3"/>
      <c r="R133" s="3"/>
      <c r="S133" s="3"/>
      <c r="W133" s="5"/>
      <c r="Y133" s="5"/>
    </row>
    <row r="134" spans="3:23" ht="15">
      <c r="C134" s="3"/>
      <c r="D134" s="2"/>
      <c r="E134" s="4"/>
      <c r="F134" s="2"/>
      <c r="G134" s="4"/>
      <c r="H134" s="3"/>
      <c r="I134" s="4"/>
      <c r="J134" s="4"/>
      <c r="L134" s="3"/>
      <c r="M134" s="3"/>
      <c r="P134" s="3"/>
      <c r="W134" s="5"/>
    </row>
    <row r="135" spans="3:25" ht="15">
      <c r="C135" s="3"/>
      <c r="D135" s="2"/>
      <c r="E135" s="4"/>
      <c r="F135" s="2"/>
      <c r="G135" s="4"/>
      <c r="H135" s="3"/>
      <c r="I135" s="4"/>
      <c r="J135" s="4"/>
      <c r="K135" s="3"/>
      <c r="L135" s="3"/>
      <c r="M135" s="3"/>
      <c r="N135" s="3"/>
      <c r="O135" s="3"/>
      <c r="P135" s="3"/>
      <c r="R135" s="3"/>
      <c r="S135" s="3"/>
      <c r="W135" s="5"/>
      <c r="Y135" s="5"/>
    </row>
    <row r="136" ht="15">
      <c r="P136" s="3"/>
    </row>
    <row r="140" ht="15">
      <c r="Y140" t="s">
        <v>27</v>
      </c>
    </row>
    <row r="142" spans="3:11" ht="15">
      <c r="C142" s="3"/>
      <c r="K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65" spans="3:13" ht="15">
      <c r="C165" s="3"/>
      <c r="D165" s="3"/>
      <c r="E165" s="3"/>
      <c r="F165" s="3"/>
      <c r="G165" s="3"/>
      <c r="H165" s="3"/>
      <c r="K165" s="5"/>
      <c r="M165" s="3"/>
    </row>
    <row r="166" spans="5:13" ht="15">
      <c r="E166" s="3"/>
      <c r="F166" s="3"/>
      <c r="G166" s="3"/>
      <c r="H166" s="3"/>
      <c r="K166" s="3"/>
      <c r="M166" s="3"/>
    </row>
    <row r="167" spans="3:13" ht="15">
      <c r="C167" s="3"/>
      <c r="D167" s="3"/>
      <c r="E167" s="3"/>
      <c r="F167" s="3"/>
      <c r="G167" s="3"/>
      <c r="H167" s="3"/>
      <c r="K167" s="5"/>
      <c r="M167" s="3"/>
    </row>
    <row r="168" spans="4:13" ht="15">
      <c r="D168" s="3"/>
      <c r="E168" s="3"/>
      <c r="G168" s="3"/>
      <c r="H168" s="3"/>
      <c r="K168" s="3"/>
      <c r="M168" s="3"/>
    </row>
    <row r="169" spans="3:13" ht="15">
      <c r="C169" s="3"/>
      <c r="D169" s="3"/>
      <c r="E169" s="3"/>
      <c r="F169" s="3"/>
      <c r="G169" s="3"/>
      <c r="H169" s="3"/>
      <c r="K169" s="5"/>
      <c r="M169" s="3"/>
    </row>
    <row r="170" spans="4:13" ht="15">
      <c r="D170" s="3"/>
      <c r="E170" s="3"/>
      <c r="F170" s="3"/>
      <c r="G170" s="3"/>
      <c r="H170" s="3"/>
      <c r="K170" s="3"/>
      <c r="M170" s="3"/>
    </row>
    <row r="171" spans="3:13" ht="15">
      <c r="C171" s="3"/>
      <c r="D171" s="3"/>
      <c r="E171" s="3"/>
      <c r="F171" s="3"/>
      <c r="G171" s="3"/>
      <c r="H171" s="3"/>
      <c r="K171" s="5"/>
      <c r="M171" s="3"/>
    </row>
    <row r="172" spans="4:13" ht="15">
      <c r="D172" s="3"/>
      <c r="E172" s="3"/>
      <c r="G172" s="3"/>
      <c r="H172" s="3"/>
      <c r="K172" s="3"/>
      <c r="M172" s="3"/>
    </row>
    <row r="173" spans="3:13" ht="15">
      <c r="C173" s="3"/>
      <c r="D173" s="3"/>
      <c r="E173" s="3"/>
      <c r="F173" s="3"/>
      <c r="G173" s="3"/>
      <c r="H173" s="3"/>
      <c r="K173" s="5"/>
      <c r="M173" s="3"/>
    </row>
    <row r="174" spans="4:13" ht="15">
      <c r="D174" s="3"/>
      <c r="E174" s="3"/>
      <c r="F174" s="3"/>
      <c r="G174" s="3"/>
      <c r="H174" s="3"/>
      <c r="K174" s="3"/>
      <c r="M174" s="3"/>
    </row>
    <row r="175" spans="3:13" ht="15">
      <c r="C175" s="3"/>
      <c r="D175" s="3"/>
      <c r="E175" s="3"/>
      <c r="F175" s="3"/>
      <c r="G175" s="3"/>
      <c r="H175" s="3"/>
      <c r="K175" s="5"/>
      <c r="M175" s="3"/>
    </row>
    <row r="176" spans="4:13" ht="15">
      <c r="D176" s="3"/>
      <c r="E176" s="3"/>
      <c r="G176" s="3"/>
      <c r="H176" s="3"/>
      <c r="K176" s="3"/>
      <c r="M176" s="3"/>
    </row>
    <row r="177" spans="3:13" ht="15">
      <c r="C177" s="3"/>
      <c r="D177" s="3"/>
      <c r="E177" s="3"/>
      <c r="F177" s="3"/>
      <c r="G177" s="3"/>
      <c r="H177" s="3"/>
      <c r="K177" s="5"/>
      <c r="M177" s="3"/>
    </row>
    <row r="178" spans="4:13" ht="15">
      <c r="D178" s="3"/>
      <c r="E178" s="3"/>
      <c r="F178" s="3"/>
      <c r="G178" s="3"/>
      <c r="H178" s="3"/>
      <c r="K178" s="3"/>
      <c r="M178" s="3"/>
    </row>
    <row r="179" spans="3:13" ht="15">
      <c r="C179" s="3"/>
      <c r="D179" s="3"/>
      <c r="E179" s="3"/>
      <c r="F179" s="3"/>
      <c r="G179" s="3"/>
      <c r="H179" s="3"/>
      <c r="K179" s="5"/>
      <c r="M179" s="3"/>
    </row>
    <row r="180" spans="4:13" ht="15">
      <c r="D180" s="3"/>
      <c r="E180" s="3"/>
      <c r="G180" s="3"/>
      <c r="H180" s="3"/>
      <c r="K180" s="3"/>
      <c r="M180" s="3"/>
    </row>
    <row r="181" spans="3:13" ht="15">
      <c r="C181" s="3"/>
      <c r="D181" s="3"/>
      <c r="E181" s="3"/>
      <c r="F181" s="3"/>
      <c r="G181" s="3"/>
      <c r="H181" s="3"/>
      <c r="K181" s="5"/>
      <c r="M181" s="3"/>
    </row>
    <row r="182" spans="4:13" ht="15">
      <c r="D182" s="3"/>
      <c r="E182" s="3"/>
      <c r="F182" s="3"/>
      <c r="G182" s="3"/>
      <c r="H182" s="3"/>
      <c r="K182" s="3"/>
      <c r="M182" s="3"/>
    </row>
    <row r="183" spans="3:13" ht="15">
      <c r="C183" s="3"/>
      <c r="D183" s="3"/>
      <c r="E183" s="3"/>
      <c r="F183" s="3"/>
      <c r="G183" s="3"/>
      <c r="H183" s="3"/>
      <c r="K183" s="5"/>
      <c r="M183" s="3"/>
    </row>
    <row r="184" spans="4:13" ht="15">
      <c r="D184" s="3"/>
      <c r="E184" s="3"/>
      <c r="G184" s="3"/>
      <c r="H184" s="3"/>
      <c r="K184" s="3"/>
      <c r="M184" s="3"/>
    </row>
    <row r="185" spans="3:13" ht="15">
      <c r="C185" s="3"/>
      <c r="D185" s="3"/>
      <c r="E185" s="3"/>
      <c r="F185" s="3"/>
      <c r="G185" s="3"/>
      <c r="H185" s="3"/>
      <c r="K185" s="5"/>
      <c r="M185" s="3"/>
    </row>
    <row r="186" spans="4:13" ht="15">
      <c r="D186" s="3"/>
      <c r="E186" s="3"/>
      <c r="G186" s="3"/>
      <c r="H186" s="3"/>
      <c r="K186" s="3"/>
      <c r="M186" s="3"/>
    </row>
    <row r="187" spans="3:13" ht="15">
      <c r="C187" s="3"/>
      <c r="D187" s="3"/>
      <c r="E187" s="3"/>
      <c r="F187" s="3"/>
      <c r="G187" s="3"/>
      <c r="H187" s="3"/>
      <c r="K187" s="5"/>
      <c r="M187" s="3"/>
    </row>
    <row r="188" ht="15">
      <c r="D188" s="3"/>
    </row>
    <row r="189" ht="15">
      <c r="D189" s="3"/>
    </row>
    <row r="190" ht="15">
      <c r="D190" s="3"/>
    </row>
  </sheetData>
  <printOptions/>
  <pageMargins left="0.5" right="0.5" top="0.5" bottom="0.5" header="0.5" footer="0.5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26">
      <selection activeCell="A40" sqref="A40"/>
    </sheetView>
  </sheetViews>
  <sheetFormatPr defaultColWidth="8.88671875" defaultRowHeight="15"/>
  <cols>
    <col min="1" max="1" width="0.671875" style="0" customWidth="1"/>
    <col min="2" max="2" width="7.10546875" style="0" customWidth="1"/>
    <col min="3" max="3" width="10.88671875" style="0" customWidth="1"/>
    <col min="4" max="4" width="9.88671875" style="0" customWidth="1"/>
    <col min="5" max="5" width="9.4453125" style="0" customWidth="1"/>
    <col min="6" max="6" width="7.10546875" style="0" customWidth="1"/>
    <col min="7" max="7" width="9.4453125" style="0" customWidth="1"/>
    <col min="8" max="8" width="11.88671875" style="0" customWidth="1"/>
    <col min="9" max="10" width="9.4453125" style="0" customWidth="1"/>
    <col min="11" max="12" width="10.88671875" style="0" customWidth="1"/>
    <col min="13" max="13" width="11.3359375" style="0" customWidth="1"/>
    <col min="14" max="16" width="10.88671875" style="0" customWidth="1"/>
    <col min="17" max="16384" width="7.10546875" style="0" customWidth="1"/>
  </cols>
  <sheetData>
    <row r="1" ht="15"/>
    <row r="4" spans="7:14" ht="15.75">
      <c r="G4" s="9"/>
      <c r="H4" s="9" t="s">
        <v>6</v>
      </c>
      <c r="N4" s="9"/>
    </row>
    <row r="5" spans="7:14" ht="15.75">
      <c r="G5" s="9"/>
      <c r="H5" s="9" t="s">
        <v>40</v>
      </c>
      <c r="N5" s="9"/>
    </row>
    <row r="6" spans="6:16" ht="15.75">
      <c r="F6" s="9"/>
      <c r="H6" s="87" t="s">
        <v>89</v>
      </c>
      <c r="P6" s="93"/>
    </row>
    <row r="7" spans="8:9" ht="15.75">
      <c r="H7" s="9"/>
      <c r="I7" s="92" t="s">
        <v>90</v>
      </c>
    </row>
    <row r="9" spans="1:17" ht="15">
      <c r="A9" s="39"/>
      <c r="B9" s="14"/>
      <c r="C9" s="14" t="s">
        <v>42</v>
      </c>
      <c r="D9" s="14" t="s">
        <v>76</v>
      </c>
      <c r="E9" s="14"/>
      <c r="F9" s="14" t="s">
        <v>67</v>
      </c>
      <c r="G9" s="14"/>
      <c r="H9" s="14" t="s">
        <v>46</v>
      </c>
      <c r="I9" s="14"/>
      <c r="J9" s="14"/>
      <c r="K9" s="14" t="s">
        <v>36</v>
      </c>
      <c r="L9" s="14" t="s">
        <v>84</v>
      </c>
      <c r="M9" s="14" t="s">
        <v>58</v>
      </c>
      <c r="N9" s="14" t="s">
        <v>86</v>
      </c>
      <c r="O9" s="14" t="s">
        <v>85</v>
      </c>
      <c r="P9" s="15"/>
      <c r="Q9" s="16" t="s">
        <v>7</v>
      </c>
    </row>
    <row r="10" spans="1:17" ht="15">
      <c r="A10" s="41"/>
      <c r="B10" s="17" t="s">
        <v>75</v>
      </c>
      <c r="C10" s="17" t="s">
        <v>34</v>
      </c>
      <c r="D10" s="17" t="s">
        <v>22</v>
      </c>
      <c r="E10" s="18" t="s">
        <v>20</v>
      </c>
      <c r="F10" s="17" t="s">
        <v>49</v>
      </c>
      <c r="G10" s="18" t="s">
        <v>16</v>
      </c>
      <c r="H10" s="17" t="s">
        <v>56</v>
      </c>
      <c r="I10" s="18" t="s">
        <v>16</v>
      </c>
      <c r="J10" s="17" t="s">
        <v>84</v>
      </c>
      <c r="K10" s="17" t="s">
        <v>33</v>
      </c>
      <c r="L10" s="17" t="s">
        <v>14</v>
      </c>
      <c r="M10" s="17" t="s">
        <v>43</v>
      </c>
      <c r="N10" s="17" t="s">
        <v>30</v>
      </c>
      <c r="O10" s="17" t="s">
        <v>30</v>
      </c>
      <c r="P10" s="19"/>
      <c r="Q10" s="88" t="s">
        <v>61</v>
      </c>
    </row>
    <row r="11" spans="1:17" ht="15">
      <c r="A11" s="44"/>
      <c r="B11" s="20"/>
      <c r="C11" s="20" t="s">
        <v>74</v>
      </c>
      <c r="D11" s="20" t="s">
        <v>69</v>
      </c>
      <c r="E11" s="20" t="s">
        <v>52</v>
      </c>
      <c r="F11" s="20" t="s">
        <v>60</v>
      </c>
      <c r="G11" s="20" t="s">
        <v>52</v>
      </c>
      <c r="H11" s="20" t="s">
        <v>38</v>
      </c>
      <c r="I11" s="20" t="s">
        <v>52</v>
      </c>
      <c r="J11" s="20" t="s">
        <v>31</v>
      </c>
      <c r="K11" s="20" t="s">
        <v>73</v>
      </c>
      <c r="L11" s="20" t="s">
        <v>72</v>
      </c>
      <c r="M11" s="20" t="s">
        <v>55</v>
      </c>
      <c r="N11" s="20" t="s">
        <v>54</v>
      </c>
      <c r="O11" s="20" t="s">
        <v>54</v>
      </c>
      <c r="P11" s="21" t="s">
        <v>51</v>
      </c>
      <c r="Q11" s="89" t="s">
        <v>88</v>
      </c>
    </row>
    <row r="12" spans="1:17" ht="15">
      <c r="A12" s="41"/>
      <c r="L12" s="47"/>
      <c r="M12" s="11"/>
      <c r="N12" s="40"/>
      <c r="P12" s="11"/>
      <c r="Q12" s="42"/>
    </row>
    <row r="13" spans="1:17" ht="15">
      <c r="A13" s="41"/>
      <c r="B13" t="s">
        <v>10</v>
      </c>
      <c r="C13" s="24">
        <v>230000</v>
      </c>
      <c r="D13" s="22">
        <v>113999</v>
      </c>
      <c r="E13" s="10">
        <f>SUM(D13/$D$35*0.5)</f>
        <v>0.015107565484582064</v>
      </c>
      <c r="F13" s="28">
        <v>4</v>
      </c>
      <c r="G13" s="10">
        <f>SUM(F13/$F$35*0.25)</f>
        <v>0.014925373134328358</v>
      </c>
      <c r="H13" s="24">
        <v>1270736</v>
      </c>
      <c r="I13" s="10">
        <f>SUM(H13/$H$35*0.25)</f>
        <v>0.007582975946409983</v>
      </c>
      <c r="J13" s="28">
        <f>E13+G13+I13</f>
        <v>0.0376159145653204</v>
      </c>
      <c r="K13" s="24">
        <f>ROUND(J13*$K$37,0)</f>
        <v>93541</v>
      </c>
      <c r="L13" s="31">
        <f>C13+K13</f>
        <v>323541</v>
      </c>
      <c r="M13" s="36">
        <f>ROUND(346998*L13/$L$35,0)</f>
        <v>15769</v>
      </c>
      <c r="N13" s="25">
        <f>SUM(L13:M13)</f>
        <v>339310</v>
      </c>
      <c r="O13" s="24">
        <v>339354</v>
      </c>
      <c r="P13" s="36">
        <f>N13-O13</f>
        <v>-44</v>
      </c>
      <c r="Q13" s="90">
        <f>SUM(P13/O13)</f>
        <v>-0.00012965811512461912</v>
      </c>
    </row>
    <row r="14" spans="1:17" ht="15">
      <c r="A14" s="41"/>
      <c r="C14" s="3"/>
      <c r="D14" s="2"/>
      <c r="E14" s="43"/>
      <c r="L14" s="32"/>
      <c r="M14" s="37"/>
      <c r="N14" s="50"/>
      <c r="O14" s="3"/>
      <c r="P14" s="12"/>
      <c r="Q14" s="91"/>
    </row>
    <row r="15" spans="1:17" ht="15">
      <c r="A15" s="41"/>
      <c r="B15" t="s">
        <v>13</v>
      </c>
      <c r="C15" s="24">
        <v>230000</v>
      </c>
      <c r="D15" s="22">
        <v>105341</v>
      </c>
      <c r="E15" s="10">
        <f>SUM(D15/$D$35*0.5)</f>
        <v>0.01396017557795559</v>
      </c>
      <c r="F15" s="28">
        <v>14</v>
      </c>
      <c r="G15" s="10">
        <f>SUM(F15/$F$35*0.25)</f>
        <v>0.05223880597014925</v>
      </c>
      <c r="H15" s="24">
        <v>1575272</v>
      </c>
      <c r="I15" s="10">
        <f>SUM(H15/$H$35*0.25)</f>
        <v>0.009400260703287816</v>
      </c>
      <c r="J15" s="28">
        <f>E15+G15+I15</f>
        <v>0.07559924225139265</v>
      </c>
      <c r="K15" s="24">
        <f>ROUND(J15*$K$37,0)</f>
        <v>187995</v>
      </c>
      <c r="L15" s="31">
        <f>C15+K15</f>
        <v>417995</v>
      </c>
      <c r="M15" s="36">
        <f>ROUND(346998*L15/$L$35,0)</f>
        <v>20372</v>
      </c>
      <c r="N15" s="25">
        <f>SUM(L15:M15)</f>
        <v>438367</v>
      </c>
      <c r="O15" s="24">
        <v>438339</v>
      </c>
      <c r="P15" s="36">
        <f>N15-O15</f>
        <v>28</v>
      </c>
      <c r="Q15" s="90">
        <f>SUM(P15/O15)</f>
        <v>6.38775012034065E-05</v>
      </c>
    </row>
    <row r="16" spans="1:17" ht="15">
      <c r="A16" s="41"/>
      <c r="C16" s="3"/>
      <c r="D16" s="2"/>
      <c r="E16" s="43"/>
      <c r="H16" s="3"/>
      <c r="L16" s="32"/>
      <c r="M16" s="37"/>
      <c r="N16" s="50"/>
      <c r="O16" s="3"/>
      <c r="P16" s="12"/>
      <c r="Q16" s="91"/>
    </row>
    <row r="17" spans="1:17" ht="15">
      <c r="A17" s="41"/>
      <c r="B17" t="s">
        <v>17</v>
      </c>
      <c r="C17" s="24">
        <f>ROUND('2003 OAA '!W17*0.07,0)</f>
        <v>441310</v>
      </c>
      <c r="D17" s="22">
        <v>380565</v>
      </c>
      <c r="E17" s="10">
        <f>SUM(D17/$D$35*0.5)</f>
        <v>0.05043386923253689</v>
      </c>
      <c r="F17" s="28">
        <v>16</v>
      </c>
      <c r="G17" s="10">
        <f>SUM(F17/$F$35*0.25)</f>
        <v>0.05970149253731343</v>
      </c>
      <c r="H17" s="24">
        <v>3749410</v>
      </c>
      <c r="I17" s="10">
        <f>SUM(H17/$H$35*0.25)</f>
        <v>0.022374187748855037</v>
      </c>
      <c r="J17" s="28">
        <f>E17+G17+I17</f>
        <v>0.13250954951870536</v>
      </c>
      <c r="K17" s="24">
        <f>ROUND(J17*$K$37,0)</f>
        <v>329516</v>
      </c>
      <c r="L17" s="31">
        <f>C17+K17</f>
        <v>770826</v>
      </c>
      <c r="M17" s="36">
        <f>ROUND(346998*L17/$L$35,0)</f>
        <v>37568</v>
      </c>
      <c r="N17" s="25">
        <f>SUM(L17:M17)</f>
        <v>808394</v>
      </c>
      <c r="O17" s="24">
        <v>804875</v>
      </c>
      <c r="P17" s="36">
        <f>N17-O17</f>
        <v>3519</v>
      </c>
      <c r="Q17" s="90">
        <f>SUM(P17/O17)</f>
        <v>0.004372107470104054</v>
      </c>
    </row>
    <row r="18" spans="1:17" ht="15">
      <c r="A18" s="41"/>
      <c r="C18" s="3"/>
      <c r="D18" s="2"/>
      <c r="E18" s="43"/>
      <c r="H18" s="3"/>
      <c r="L18" s="32"/>
      <c r="M18" s="37"/>
      <c r="N18" s="50"/>
      <c r="O18" s="3"/>
      <c r="P18" s="12"/>
      <c r="Q18" s="91"/>
    </row>
    <row r="19" spans="1:17" ht="15">
      <c r="A19" s="41"/>
      <c r="B19" t="s">
        <v>18</v>
      </c>
      <c r="C19" s="24">
        <f>ROUND('2003 OAA '!W19*0.07,0)</f>
        <v>392419</v>
      </c>
      <c r="D19" s="22">
        <v>329783</v>
      </c>
      <c r="E19" s="10">
        <f>SUM(D19/$D$35*0.5)</f>
        <v>0.04370405238819575</v>
      </c>
      <c r="F19" s="28">
        <v>7</v>
      </c>
      <c r="G19" s="10">
        <f>SUM(F19/$F$35*0.25)</f>
        <v>0.026119402985074626</v>
      </c>
      <c r="H19" s="24">
        <v>3988358</v>
      </c>
      <c r="I19" s="10">
        <f>SUM(H19/$H$35*0.25)</f>
        <v>0.023800083400227764</v>
      </c>
      <c r="J19" s="28">
        <f>E19+G19+I19</f>
        <v>0.09362353877349813</v>
      </c>
      <c r="K19" s="24">
        <f>ROUND(J19*$K$37,0)</f>
        <v>232817</v>
      </c>
      <c r="L19" s="31">
        <f>C19+K19</f>
        <v>625236</v>
      </c>
      <c r="M19" s="36">
        <f>ROUND(346998*L19/$L$35,0)</f>
        <v>30472</v>
      </c>
      <c r="N19" s="25">
        <f>SUM(L19:M19)</f>
        <v>655708</v>
      </c>
      <c r="O19" s="24">
        <v>652667</v>
      </c>
      <c r="P19" s="36">
        <f>N19-O19</f>
        <v>3041</v>
      </c>
      <c r="Q19" s="90">
        <f>SUM(P19/O19)</f>
        <v>0.004659343892061342</v>
      </c>
    </row>
    <row r="20" spans="1:17" ht="15">
      <c r="A20" s="41"/>
      <c r="C20" s="3"/>
      <c r="D20" s="2"/>
      <c r="E20" s="43"/>
      <c r="H20" s="3"/>
      <c r="L20" s="32"/>
      <c r="M20" s="37"/>
      <c r="N20" s="50"/>
      <c r="O20" s="3"/>
      <c r="P20" s="12"/>
      <c r="Q20" s="91"/>
    </row>
    <row r="21" spans="1:17" ht="15">
      <c r="A21" s="41"/>
      <c r="B21" t="s">
        <v>19</v>
      </c>
      <c r="C21" s="24">
        <f>ROUND('2003 OAA '!W21*0.07,0)</f>
        <v>362827</v>
      </c>
      <c r="D21" s="22">
        <v>378441</v>
      </c>
      <c r="E21" s="10">
        <f>SUM(D21/$D$35*0.5)</f>
        <v>0.050152388964383204</v>
      </c>
      <c r="F21" s="28">
        <v>2</v>
      </c>
      <c r="G21" s="10">
        <f>SUM(F21/$F$35*0.25)</f>
        <v>0.007462686567164179</v>
      </c>
      <c r="H21" s="24">
        <v>5959354</v>
      </c>
      <c r="I21" s="10">
        <f>SUM(H21/$H$35*0.25)</f>
        <v>0.035561783122648696</v>
      </c>
      <c r="J21" s="28">
        <f>E21+G21+I21</f>
        <v>0.09317685865419609</v>
      </c>
      <c r="K21" s="24">
        <f>ROUND(J21*$K$37,0)</f>
        <v>231706</v>
      </c>
      <c r="L21" s="31">
        <f>C21+K21</f>
        <v>594533</v>
      </c>
      <c r="M21" s="36">
        <f>ROUND(346998*L21/$L$35,0)</f>
        <v>28976</v>
      </c>
      <c r="N21" s="25">
        <f>SUM(L21:M21)</f>
        <v>623509</v>
      </c>
      <c r="O21" s="24">
        <v>621630</v>
      </c>
      <c r="P21" s="36">
        <f>N21-O21</f>
        <v>1879</v>
      </c>
      <c r="Q21" s="90">
        <f>SUM(P21/O21)</f>
        <v>0.003022698389717356</v>
      </c>
    </row>
    <row r="22" spans="1:17" ht="15">
      <c r="A22" s="41"/>
      <c r="C22" s="3"/>
      <c r="D22" s="2"/>
      <c r="E22" s="43"/>
      <c r="H22" s="3"/>
      <c r="L22" s="32"/>
      <c r="M22" s="37"/>
      <c r="N22" s="50"/>
      <c r="O22" s="3"/>
      <c r="P22" s="12"/>
      <c r="Q22" s="91"/>
    </row>
    <row r="23" spans="1:17" ht="15">
      <c r="A23" s="41"/>
      <c r="B23" t="s">
        <v>21</v>
      </c>
      <c r="C23" s="24">
        <f>ROUND('2003 OAA '!W23*0.07,0)</f>
        <v>505091</v>
      </c>
      <c r="D23" s="22">
        <v>421204</v>
      </c>
      <c r="E23" s="10">
        <f>SUM(D23/$D$35*0.5)</f>
        <v>0.05581949852514411</v>
      </c>
      <c r="F23" s="28">
        <v>5</v>
      </c>
      <c r="G23" s="10">
        <f>SUM(F23/$F$35*0.25)</f>
        <v>0.018656716417910446</v>
      </c>
      <c r="H23" s="24">
        <v>4329536</v>
      </c>
      <c r="I23" s="10">
        <f>SUM(H23/$H$35*0.25)</f>
        <v>0.025836025222482163</v>
      </c>
      <c r="J23" s="28">
        <f>E23+G23+I23</f>
        <v>0.10031224016553672</v>
      </c>
      <c r="K23" s="24">
        <f>ROUND(J23*$K$37,0)</f>
        <v>249450</v>
      </c>
      <c r="L23" s="31">
        <f>C23+K23</f>
        <v>754541</v>
      </c>
      <c r="M23" s="36">
        <f>ROUND(346998*L23/$L$35,0)</f>
        <v>36774</v>
      </c>
      <c r="N23" s="25">
        <f>SUM(L23:M23)</f>
        <v>791315</v>
      </c>
      <c r="O23" s="24">
        <v>788214</v>
      </c>
      <c r="P23" s="36">
        <f>N23-O23</f>
        <v>3101</v>
      </c>
      <c r="Q23" s="90">
        <f>SUM(P23/O23)</f>
        <v>0.003934210760022024</v>
      </c>
    </row>
    <row r="24" spans="1:17" ht="15">
      <c r="A24" s="41"/>
      <c r="C24" s="3"/>
      <c r="D24" s="2"/>
      <c r="E24" s="43"/>
      <c r="H24" s="3"/>
      <c r="L24" s="32"/>
      <c r="M24" s="37"/>
      <c r="N24" s="50"/>
      <c r="O24" s="3"/>
      <c r="P24" s="12"/>
      <c r="Q24" s="91"/>
    </row>
    <row r="25" spans="1:17" ht="15">
      <c r="A25" s="41"/>
      <c r="B25" t="s">
        <v>26</v>
      </c>
      <c r="C25" s="24">
        <f>ROUND('2003 OAA '!W25*0.07,0)</f>
        <v>372608</v>
      </c>
      <c r="D25" s="22">
        <v>344373</v>
      </c>
      <c r="E25" s="10">
        <f>SUM(D25/$D$35*0.5)</f>
        <v>0.045637572685918115</v>
      </c>
      <c r="F25" s="28">
        <v>4</v>
      </c>
      <c r="G25" s="10">
        <f>SUM(F25/$F$35*0.25)</f>
        <v>0.014925373134328358</v>
      </c>
      <c r="H25" s="24">
        <v>3182592</v>
      </c>
      <c r="I25" s="10">
        <f>SUM(H25/$H$35*0.25)</f>
        <v>0.018991764287182262</v>
      </c>
      <c r="J25" s="28">
        <f>E25+G25+I25</f>
        <v>0.07955471010742873</v>
      </c>
      <c r="K25" s="24">
        <f>ROUND(J25*$K$37,0)</f>
        <v>197832</v>
      </c>
      <c r="L25" s="31">
        <f>C25+K25</f>
        <v>570440</v>
      </c>
      <c r="M25" s="36">
        <f>ROUND(346998*L25/$L$35,0)</f>
        <v>27802</v>
      </c>
      <c r="N25" s="25">
        <f>SUM(L25:M25)</f>
        <v>598242</v>
      </c>
      <c r="O25" s="24">
        <v>596679</v>
      </c>
      <c r="P25" s="36">
        <f>N25-O25</f>
        <v>1563</v>
      </c>
      <c r="Q25" s="90">
        <f>SUM(P25/O25)</f>
        <v>0.0026194989265585014</v>
      </c>
    </row>
    <row r="26" spans="1:17" ht="15">
      <c r="A26" s="41"/>
      <c r="C26" s="3"/>
      <c r="D26" s="2"/>
      <c r="E26" s="43"/>
      <c r="H26" s="3"/>
      <c r="L26" s="32"/>
      <c r="M26" s="37"/>
      <c r="N26" s="50"/>
      <c r="O26" s="3"/>
      <c r="P26" s="12"/>
      <c r="Q26" s="91"/>
    </row>
    <row r="27" spans="1:17" ht="15">
      <c r="A27" s="41"/>
      <c r="B27" t="s">
        <v>28</v>
      </c>
      <c r="C27" s="24">
        <f>ROUND('2003 OAA '!W27*0.07,0)</f>
        <v>382582</v>
      </c>
      <c r="D27" s="22">
        <v>449503</v>
      </c>
      <c r="E27" s="10">
        <f>SUM(D27/$D$35*0.5)</f>
        <v>0.05956978577019177</v>
      </c>
      <c r="F27" s="28">
        <v>7</v>
      </c>
      <c r="G27" s="10">
        <f>SUM(F27/$F$35*0.25)</f>
        <v>0.026119402985074626</v>
      </c>
      <c r="H27" s="24">
        <v>3914198</v>
      </c>
      <c r="I27" s="10">
        <f>SUM(H27/$H$35*0.25)</f>
        <v>0.02335754183676709</v>
      </c>
      <c r="J27" s="28">
        <f>E27+G27+I27</f>
        <v>0.10904673059203349</v>
      </c>
      <c r="K27" s="24">
        <f>ROUND(J27*$K$37,0)</f>
        <v>271170</v>
      </c>
      <c r="L27" s="31">
        <f>C27+K27</f>
        <v>653752</v>
      </c>
      <c r="M27" s="36">
        <f>ROUND(346998*L27/$L$35,0)</f>
        <v>31862</v>
      </c>
      <c r="N27" s="25">
        <f>SUM(L27:M27)</f>
        <v>685614</v>
      </c>
      <c r="O27" s="24">
        <v>684313</v>
      </c>
      <c r="P27" s="36">
        <f>N27-O27</f>
        <v>1301</v>
      </c>
      <c r="Q27" s="90">
        <f>SUM(P27/O27)</f>
        <v>0.0019011768006745452</v>
      </c>
    </row>
    <row r="28" spans="1:17" ht="15">
      <c r="A28" s="41"/>
      <c r="C28" s="3"/>
      <c r="D28" s="2"/>
      <c r="E28" s="43"/>
      <c r="H28" s="3"/>
      <c r="L28" s="32"/>
      <c r="M28" s="37"/>
      <c r="N28" s="50"/>
      <c r="O28" s="3"/>
      <c r="P28" s="12"/>
      <c r="Q28" s="91"/>
    </row>
    <row r="29" spans="1:17" ht="15">
      <c r="A29" s="41"/>
      <c r="B29" t="s">
        <v>29</v>
      </c>
      <c r="C29" s="24">
        <f>ROUND('2003 OAA '!W29*0.07,0)</f>
        <v>459635</v>
      </c>
      <c r="D29" s="22">
        <v>481126</v>
      </c>
      <c r="E29" s="10">
        <f>SUM(D29/$D$35*0.5)</f>
        <v>0.06376058168347995</v>
      </c>
      <c r="F29" s="28">
        <v>5</v>
      </c>
      <c r="G29" s="10">
        <f>SUM(F29/$F$35*0.25)</f>
        <v>0.018656716417910446</v>
      </c>
      <c r="H29" s="24">
        <v>3619625</v>
      </c>
      <c r="I29" s="10">
        <f>SUM(H29/$H$35*0.25)</f>
        <v>0.02159971017585418</v>
      </c>
      <c r="J29" s="28">
        <f>E29+G29+I29</f>
        <v>0.10401700827724458</v>
      </c>
      <c r="K29" s="24">
        <f>ROUND(J29*$K$37,0)</f>
        <v>258663</v>
      </c>
      <c r="L29" s="31">
        <f>C29+K29</f>
        <v>718298</v>
      </c>
      <c r="M29" s="36">
        <f>ROUND(346998*L29/$L$35,0)</f>
        <v>35008</v>
      </c>
      <c r="N29" s="25">
        <f>SUM(L29:M29)</f>
        <v>753306</v>
      </c>
      <c r="O29" s="24">
        <v>754594</v>
      </c>
      <c r="P29" s="36">
        <f>N29-O29</f>
        <v>-1288</v>
      </c>
      <c r="Q29" s="90">
        <f>SUM(P29/O29)</f>
        <v>-0.0017068781357922273</v>
      </c>
    </row>
    <row r="30" spans="1:17" ht="15">
      <c r="A30" s="41"/>
      <c r="C30" s="3"/>
      <c r="D30" s="2"/>
      <c r="E30" s="43"/>
      <c r="H30" s="3"/>
      <c r="L30" s="32"/>
      <c r="M30" s="37"/>
      <c r="N30" s="50"/>
      <c r="O30" s="3"/>
      <c r="P30" s="12"/>
      <c r="Q30" s="91"/>
    </row>
    <row r="31" spans="1:17" ht="15">
      <c r="A31" s="41"/>
      <c r="B31" t="s">
        <v>11</v>
      </c>
      <c r="C31" s="24">
        <f>ROUND('2003 OAA '!W31*0.07,0)</f>
        <v>379722</v>
      </c>
      <c r="D31" s="22">
        <v>338417</v>
      </c>
      <c r="E31" s="10">
        <f>SUM(D31/$D$35*0.5)</f>
        <v>0.044848261726820486</v>
      </c>
      <c r="F31" s="28">
        <v>1</v>
      </c>
      <c r="G31" s="10">
        <f>SUM(F31/$F$35*0.25)</f>
        <v>0.0037313432835820895</v>
      </c>
      <c r="H31" s="24">
        <v>5586876</v>
      </c>
      <c r="I31" s="10">
        <f>SUM(H31/$H$35*0.25)</f>
        <v>0.03333906202671146</v>
      </c>
      <c r="J31" s="28">
        <f>E31+G31+I31</f>
        <v>0.08191866703711403</v>
      </c>
      <c r="K31" s="24">
        <f>ROUND(J31*$K$37,0)</f>
        <v>203710</v>
      </c>
      <c r="L31" s="31">
        <f>C31+K31</f>
        <v>583432</v>
      </c>
      <c r="M31" s="36">
        <f>ROUND(346998*L31/$L$35,0)</f>
        <v>28435</v>
      </c>
      <c r="N31" s="25">
        <f>SUM(L31:M31)</f>
        <v>611867</v>
      </c>
      <c r="O31" s="24">
        <v>610456</v>
      </c>
      <c r="P31" s="36">
        <f>N31-O31</f>
        <v>1411</v>
      </c>
      <c r="Q31" s="90">
        <f>SUM(P31/O31)</f>
        <v>0.0023113868976633862</v>
      </c>
    </row>
    <row r="32" spans="1:17" ht="15">
      <c r="A32" s="41"/>
      <c r="C32" s="3"/>
      <c r="D32" s="2"/>
      <c r="E32" s="43"/>
      <c r="H32" s="3"/>
      <c r="L32" s="32"/>
      <c r="M32" s="37"/>
      <c r="N32" s="50"/>
      <c r="O32" s="3"/>
      <c r="P32" s="12"/>
      <c r="Q32" s="91"/>
    </row>
    <row r="33" spans="1:17" ht="15">
      <c r="A33" s="41"/>
      <c r="B33" s="28" t="s">
        <v>12</v>
      </c>
      <c r="C33" s="24">
        <f>ROUND('2003 OAA '!W33*0.07,0)</f>
        <v>876821</v>
      </c>
      <c r="D33" s="22">
        <v>430159</v>
      </c>
      <c r="E33" s="10">
        <f>SUM(D33/$D$35*0.5)</f>
        <v>0.05700624796079208</v>
      </c>
      <c r="F33" s="28">
        <v>2</v>
      </c>
      <c r="G33" s="10">
        <f>SUM(F33/$F$35*0.25)</f>
        <v>0.007462686567164179</v>
      </c>
      <c r="H33" s="24">
        <v>4718413</v>
      </c>
      <c r="I33" s="10">
        <f>SUM(H33/$H$35*0.25)</f>
        <v>0.028156605529573542</v>
      </c>
      <c r="J33" s="28">
        <f>E33+G33+I33</f>
        <v>0.09262554005752979</v>
      </c>
      <c r="K33" s="24">
        <f>ROUND(J33*$K$37,0)+1</f>
        <v>230336</v>
      </c>
      <c r="L33" s="31">
        <f>C33+K33</f>
        <v>1107157</v>
      </c>
      <c r="M33" s="36">
        <f>ROUND(346998*L33/$L$35,0)</f>
        <v>53960</v>
      </c>
      <c r="N33" s="25">
        <f>SUM(L33:M33)</f>
        <v>1161117</v>
      </c>
      <c r="O33" s="24">
        <v>1163745</v>
      </c>
      <c r="P33" s="36">
        <f>N33-O33</f>
        <v>-2628</v>
      </c>
      <c r="Q33" s="90">
        <f>SUM(P33/O33)</f>
        <v>-0.002258226673369166</v>
      </c>
    </row>
    <row r="34" spans="1:17" ht="15">
      <c r="A34" s="41"/>
      <c r="C34" s="3"/>
      <c r="D34" s="2"/>
      <c r="E34" s="43"/>
      <c r="H34" s="3"/>
      <c r="L34" s="32"/>
      <c r="M34" s="37"/>
      <c r="N34" s="50"/>
      <c r="O34" s="3"/>
      <c r="P34" s="12"/>
      <c r="Q34" s="91"/>
    </row>
    <row r="35" spans="1:17" ht="15">
      <c r="A35" s="41"/>
      <c r="B35" t="s">
        <v>84</v>
      </c>
      <c r="C35" s="3">
        <f aca="true" t="shared" si="0" ref="C35:P35">SUM(C13:C33)</f>
        <v>4633015</v>
      </c>
      <c r="D35" s="2">
        <f t="shared" si="0"/>
        <v>3772911</v>
      </c>
      <c r="E35" s="43">
        <f t="shared" si="0"/>
        <v>0.5</v>
      </c>
      <c r="F35">
        <f t="shared" si="0"/>
        <v>67</v>
      </c>
      <c r="G35" s="43">
        <f t="shared" si="0"/>
        <v>0.24999999999999997</v>
      </c>
      <c r="H35" s="3">
        <f t="shared" si="0"/>
        <v>41894370</v>
      </c>
      <c r="I35" s="43">
        <f t="shared" si="0"/>
        <v>0.25</v>
      </c>
      <c r="J35" s="43">
        <f t="shared" si="0"/>
        <v>1.0000000000000002</v>
      </c>
      <c r="K35" s="3">
        <f t="shared" si="0"/>
        <v>2486736</v>
      </c>
      <c r="L35" s="32">
        <f t="shared" si="0"/>
        <v>7119751</v>
      </c>
      <c r="M35" s="37">
        <f t="shared" si="0"/>
        <v>346998</v>
      </c>
      <c r="N35" s="50">
        <f t="shared" si="0"/>
        <v>7466749</v>
      </c>
      <c r="O35" s="3">
        <f t="shared" si="0"/>
        <v>7454866</v>
      </c>
      <c r="P35" s="37">
        <f t="shared" si="0"/>
        <v>11883</v>
      </c>
      <c r="Q35" s="91">
        <f>SUM(P35/O35)</f>
        <v>0.0015939924339350969</v>
      </c>
    </row>
    <row r="36" spans="1:17" ht="15">
      <c r="A36" s="44"/>
      <c r="B36" s="52"/>
      <c r="C36" s="52"/>
      <c r="D36" s="45"/>
      <c r="E36" s="52"/>
      <c r="F36" s="52"/>
      <c r="G36" s="52"/>
      <c r="H36" s="53"/>
      <c r="I36" s="52"/>
      <c r="J36" s="52"/>
      <c r="K36" s="52"/>
      <c r="L36" s="33"/>
      <c r="M36" s="38"/>
      <c r="N36" s="54"/>
      <c r="O36" s="52"/>
      <c r="P36" s="13"/>
      <c r="Q36" s="46"/>
    </row>
    <row r="37" spans="9:14" ht="15">
      <c r="I37" t="s">
        <v>37</v>
      </c>
      <c r="K37" s="3">
        <f>7119751-C35</f>
        <v>2486736</v>
      </c>
      <c r="L37" s="3"/>
      <c r="M37" s="3"/>
      <c r="N37" s="3"/>
    </row>
    <row r="38" spans="2:14" ht="15.75">
      <c r="B38" s="9"/>
      <c r="C38" s="9" t="s">
        <v>8</v>
      </c>
      <c r="D38" s="9" t="s">
        <v>35</v>
      </c>
      <c r="L38" s="3"/>
      <c r="M38" s="3"/>
      <c r="N38" s="3"/>
    </row>
    <row r="39" spans="2:16" ht="15.75">
      <c r="B39" s="9"/>
      <c r="C39" s="9" t="s">
        <v>9</v>
      </c>
      <c r="D39" s="9" t="s">
        <v>41</v>
      </c>
      <c r="P39" s="94" t="s">
        <v>94</v>
      </c>
    </row>
  </sheetData>
  <printOptions/>
  <pageMargins left="0.75" right="0.75" top="1" bottom="1" header="0.5" footer="0.5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DOEA PN1795</cp:lastModifiedBy>
  <cp:lastPrinted>2003-04-01T21:12:06Z</cp:lastPrinted>
  <dcterms:created xsi:type="dcterms:W3CDTF">2003-01-21T20:44:35Z</dcterms:created>
  <dcterms:modified xsi:type="dcterms:W3CDTF">2003-04-01T21:13:30Z</dcterms:modified>
  <cp:category/>
  <cp:version/>
  <cp:contentType/>
  <cp:contentStatus/>
</cp:coreProperties>
</file>