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060" activeTab="0"/>
  </bookViews>
  <sheets>
    <sheet name="2005 Svcs and Adm Alloca" sheetId="1" r:id="rId1"/>
    <sheet name="2005 Svcs Formula " sheetId="2" r:id="rId2"/>
    <sheet name="2005 Admin Formula" sheetId="3" r:id="rId3"/>
  </sheets>
  <definedNames>
    <definedName name="_xlnm.Print_Area" localSheetId="0">'2005 Svcs and Adm Alloca'!$A$1:$V$42</definedName>
    <definedName name="_xlnm.Print_Area" localSheetId="1">'2005 Svcs Formula '!$A$1:$O$46</definedName>
    <definedName name="_xlnm.Print_Area">'2005 Admin Formula'!$A$1:$Q$41</definedName>
  </definedNames>
  <calcPr fullCalcOnLoad="1"/>
</workbook>
</file>

<file path=xl/sharedStrings.xml><?xml version="1.0" encoding="utf-8"?>
<sst xmlns="http://schemas.openxmlformats.org/spreadsheetml/2006/main" count="220" uniqueCount="117">
  <si>
    <t/>
  </si>
  <si>
    <t xml:space="preserve"> </t>
  </si>
  <si>
    <t xml:space="preserve">    </t>
  </si>
  <si>
    <t xml:space="preserve">        35% Weight</t>
  </si>
  <si>
    <t xml:space="preserve">    60+ Population</t>
  </si>
  <si>
    <t>%</t>
  </si>
  <si>
    <t>*</t>
  </si>
  <si>
    <t>**</t>
  </si>
  <si>
    <t>1</t>
  </si>
  <si>
    <t>10</t>
  </si>
  <si>
    <t>11</t>
  </si>
  <si>
    <t>2</t>
  </si>
  <si>
    <t>25% Weight</t>
  </si>
  <si>
    <t>3</t>
  </si>
  <si>
    <t>4</t>
  </si>
  <si>
    <t>5</t>
  </si>
  <si>
    <t>50% Weight</t>
  </si>
  <si>
    <t>6</t>
  </si>
  <si>
    <t>60+</t>
  </si>
  <si>
    <t>60+ Low Income</t>
  </si>
  <si>
    <t>60+ Near Low Income</t>
  </si>
  <si>
    <t>60+ With Mobility &amp; Self</t>
  </si>
  <si>
    <t>7</t>
  </si>
  <si>
    <t>7/14/88</t>
  </si>
  <si>
    <t>8</t>
  </si>
  <si>
    <t>9</t>
  </si>
  <si>
    <t>Admin</t>
  </si>
  <si>
    <t>All Factors</t>
  </si>
  <si>
    <t>Alloca</t>
  </si>
  <si>
    <t>Allocated</t>
  </si>
  <si>
    <t>Allocation</t>
  </si>
  <si>
    <t>Amount</t>
  </si>
  <si>
    <t>Amount over base=</t>
  </si>
  <si>
    <t>Amount*</t>
  </si>
  <si>
    <t>Amt (incl GR)</t>
  </si>
  <si>
    <t>AREA AGENCY ADMINISTRATION ALLOCATION</t>
  </si>
  <si>
    <t>Base equals 7% of OAA services with a minimum of $230,000 per PSA.</t>
  </si>
  <si>
    <t>Base**</t>
  </si>
  <si>
    <t>Based on Admin</t>
  </si>
  <si>
    <t>Care Limita. - 15% Weight</t>
  </si>
  <si>
    <t>Caregiver</t>
  </si>
  <si>
    <t>CCE Svcs.</t>
  </si>
  <si>
    <t>Congregate</t>
  </si>
  <si>
    <t>Contract</t>
  </si>
  <si>
    <t>Counties</t>
  </si>
  <si>
    <t>Diff</t>
  </si>
  <si>
    <t>Diff.</t>
  </si>
  <si>
    <t>Factor</t>
  </si>
  <si>
    <t>Factors</t>
  </si>
  <si>
    <t>Fed + GR</t>
  </si>
  <si>
    <t>GR</t>
  </si>
  <si>
    <t>GR Alloca Based</t>
  </si>
  <si>
    <t>Home Del</t>
  </si>
  <si>
    <t>In PSA</t>
  </si>
  <si>
    <t>Increase</t>
  </si>
  <si>
    <t>Meals</t>
  </si>
  <si>
    <t>Minority - 15% Weight</t>
  </si>
  <si>
    <t>Minority includes everyone but white non-Hispanics</t>
  </si>
  <si>
    <t>Nat'l Family</t>
  </si>
  <si>
    <t>Near low income includes all with incomes from 0% to 125% of low income level</t>
  </si>
  <si>
    <t>No. of</t>
  </si>
  <si>
    <t xml:space="preserve">Note:  No setaside in C1 ($130,256) for Seminole Indian Tribe beginning with 2000 grant award.  </t>
  </si>
  <si>
    <t>Number</t>
  </si>
  <si>
    <t>OAA</t>
  </si>
  <si>
    <t>oaa services</t>
  </si>
  <si>
    <t>OAA--Adm</t>
  </si>
  <si>
    <t>Over Base</t>
  </si>
  <si>
    <t>Per AAA</t>
  </si>
  <si>
    <t>PSA</t>
  </si>
  <si>
    <t>Services</t>
  </si>
  <si>
    <t xml:space="preserve">SOURCES:  </t>
  </si>
  <si>
    <t>Supportive</t>
  </si>
  <si>
    <t>Title C 1</t>
  </si>
  <si>
    <t>Title C 2</t>
  </si>
  <si>
    <t>Title III B</t>
  </si>
  <si>
    <t>Title IIIE</t>
  </si>
  <si>
    <t>Total</t>
  </si>
  <si>
    <t>% Increase</t>
  </si>
  <si>
    <t>(Decrease)</t>
  </si>
  <si>
    <t xml:space="preserve">Total </t>
  </si>
  <si>
    <t>From</t>
  </si>
  <si>
    <t>Formula</t>
  </si>
  <si>
    <t xml:space="preserve">By </t>
  </si>
  <si>
    <t>Title IIIB</t>
  </si>
  <si>
    <t>Title IIIC2</t>
  </si>
  <si>
    <t>Home Del'd</t>
  </si>
  <si>
    <t>Title III E</t>
  </si>
  <si>
    <t>Family</t>
  </si>
  <si>
    <t>Total 2004</t>
  </si>
  <si>
    <t xml:space="preserve">          Base Funding is 2003 Service Funding Level</t>
  </si>
  <si>
    <t>Hold Harmless</t>
  </si>
  <si>
    <t>for 2003</t>
  </si>
  <si>
    <t xml:space="preserve">                          Services Allocated Based on Sevice Level of Funding for the 2003 Grant</t>
  </si>
  <si>
    <t xml:space="preserve">                     2005 Older Americans Act Grant</t>
  </si>
  <si>
    <t xml:space="preserve">  Balance Allocated Using 2005 Population Projections (2000 Census)</t>
  </si>
  <si>
    <t>File:  OAA2005SvcsAdmAlloca</t>
  </si>
  <si>
    <t xml:space="preserve">   2005 OLDER AMERICANS ACT ALLOCATION</t>
  </si>
  <si>
    <t xml:space="preserve">      Using 2005 Population Data (2000 Census)</t>
  </si>
  <si>
    <t>2005 Grant Award</t>
  </si>
  <si>
    <t>FY 04/05</t>
  </si>
  <si>
    <t>Fed Amt. 2005</t>
  </si>
  <si>
    <t>2005 Fed</t>
  </si>
  <si>
    <t>PSA 05 Pop</t>
  </si>
  <si>
    <t>Allocation for CCE for 2004/2005.</t>
  </si>
  <si>
    <t>Tab:  2005 Admin Formula</t>
  </si>
  <si>
    <t>File:  OAA2005SvcsAdmAllocaMarch</t>
  </si>
  <si>
    <t>Total 2005</t>
  </si>
  <si>
    <t xml:space="preserve">      2005 OLDER AMERICANS ACT TITLE III</t>
  </si>
  <si>
    <t>Formula Factors Using 2005 Projected Population (Based on 2000 Census)</t>
  </si>
  <si>
    <t>Projected for 2005</t>
  </si>
  <si>
    <t>Tab:  2005 Svcs Formula</t>
  </si>
  <si>
    <t>2005 Svcs</t>
  </si>
  <si>
    <t>2005 Formula</t>
  </si>
  <si>
    <t>OAA 2005</t>
  </si>
  <si>
    <t>Tab:  2005 Svcs and Adm Alloca</t>
  </si>
  <si>
    <t>2005 projection from Florida Demographic Estimating Conference; October 2004 for Jan 2005</t>
  </si>
  <si>
    <t>Title IIIC1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</si>
</sst>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000"/>
    <numFmt numFmtId="166" formatCode="&quot;$&quot;#,##0.000000_);\(&quot;$&quot;#,##0.000000\)"/>
  </numFmts>
  <fonts count="10">
    <font>
      <sz val="12"/>
      <name val="Arial"/>
      <family val="0"/>
    </font>
    <font>
      <sz val="18"/>
      <name val="Arial"/>
      <family val="0"/>
    </font>
    <font>
      <b/>
      <sz val="14"/>
      <name val="Times New Roman"/>
      <family val="0"/>
    </font>
    <font>
      <i/>
      <sz val="12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10">
    <xf numFmtId="0" fontId="0" fillId="2" borderId="0" xfId="0" applyAlignment="1">
      <alignment/>
    </xf>
    <xf numFmtId="9" fontId="0" fillId="2" borderId="0" xfId="0" applyAlignment="1">
      <alignment/>
    </xf>
    <xf numFmtId="3" fontId="0" fillId="2" borderId="0" xfId="0" applyAlignment="1">
      <alignment/>
    </xf>
    <xf numFmtId="5" fontId="0" fillId="2" borderId="0" xfId="0" applyAlignment="1">
      <alignment/>
    </xf>
    <xf numFmtId="164" fontId="0" fillId="2" borderId="0" xfId="0" applyAlignment="1">
      <alignment/>
    </xf>
    <xf numFmtId="10" fontId="0" fillId="2" borderId="0" xfId="0" applyAlignment="1">
      <alignment/>
    </xf>
    <xf numFmtId="0" fontId="5" fillId="2" borderId="0" xfId="0" applyAlignment="1">
      <alignment/>
    </xf>
    <xf numFmtId="22" fontId="0" fillId="2" borderId="0" xfId="0" applyAlignment="1">
      <alignment/>
    </xf>
    <xf numFmtId="0" fontId="2" fillId="2" borderId="0" xfId="0" applyAlignment="1">
      <alignment/>
    </xf>
    <xf numFmtId="0" fontId="4" fillId="2" borderId="0" xfId="0" applyAlignment="1">
      <alignment/>
    </xf>
    <xf numFmtId="165" fontId="0" fillId="2" borderId="1" xfId="0" applyAlignment="1">
      <alignment/>
    </xf>
    <xf numFmtId="0" fontId="0" fillId="2" borderId="2" xfId="0" applyAlignment="1">
      <alignment/>
    </xf>
    <xf numFmtId="0" fontId="0" fillId="2" borderId="3" xfId="0" applyAlignment="1">
      <alignment/>
    </xf>
    <xf numFmtId="0" fontId="0" fillId="2" borderId="0" xfId="0" applyAlignment="1">
      <alignment horizontal="center"/>
    </xf>
    <xf numFmtId="3" fontId="0" fillId="2" borderId="1" xfId="0" applyAlignment="1">
      <alignment/>
    </xf>
    <xf numFmtId="5" fontId="0" fillId="2" borderId="1" xfId="0" applyAlignment="1">
      <alignment/>
    </xf>
    <xf numFmtId="5" fontId="0" fillId="2" borderId="4" xfId="0" applyAlignment="1">
      <alignment/>
    </xf>
    <xf numFmtId="0" fontId="0" fillId="2" borderId="1" xfId="0" applyAlignment="1">
      <alignment/>
    </xf>
    <xf numFmtId="5" fontId="0" fillId="2" borderId="5" xfId="0" applyAlignment="1">
      <alignment/>
    </xf>
    <xf numFmtId="5" fontId="0" fillId="2" borderId="6" xfId="0" applyAlignment="1">
      <alignment/>
    </xf>
    <xf numFmtId="5" fontId="0" fillId="2" borderId="7" xfId="0" applyAlignment="1">
      <alignment/>
    </xf>
    <xf numFmtId="5" fontId="0" fillId="2" borderId="8" xfId="0" applyAlignment="1">
      <alignment/>
    </xf>
    <xf numFmtId="5" fontId="0" fillId="2" borderId="2" xfId="0" applyAlignment="1">
      <alignment/>
    </xf>
    <xf numFmtId="5" fontId="0" fillId="2" borderId="3" xfId="0" applyAlignment="1">
      <alignment/>
    </xf>
    <xf numFmtId="0" fontId="0" fillId="3" borderId="6" xfId="0" applyAlignment="1">
      <alignment/>
    </xf>
    <xf numFmtId="165" fontId="0" fillId="2" borderId="0" xfId="0" applyAlignment="1">
      <alignment/>
    </xf>
    <xf numFmtId="0" fontId="0" fillId="3" borderId="7" xfId="0" applyAlignment="1">
      <alignment/>
    </xf>
    <xf numFmtId="3" fontId="0" fillId="2" borderId="9" xfId="0" applyAlignment="1">
      <alignment/>
    </xf>
    <xf numFmtId="0" fontId="0" fillId="2" borderId="10" xfId="0" applyAlignment="1">
      <alignment/>
    </xf>
    <xf numFmtId="5" fontId="0" fillId="2" borderId="11" xfId="0" applyAlignment="1">
      <alignment/>
    </xf>
    <xf numFmtId="0" fontId="0" fillId="2" borderId="9" xfId="0" applyAlignment="1">
      <alignment/>
    </xf>
    <xf numFmtId="5" fontId="0" fillId="2" borderId="9" xfId="0" applyAlignment="1">
      <alignment/>
    </xf>
    <xf numFmtId="5" fontId="0" fillId="2" borderId="10" xfId="0" applyAlignment="1">
      <alignment/>
    </xf>
    <xf numFmtId="0" fontId="5" fillId="2" borderId="0" xfId="0" applyFont="1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0" xfId="0" applyBorder="1" applyAlignment="1">
      <alignment/>
    </xf>
    <xf numFmtId="0" fontId="0" fillId="2" borderId="0" xfId="0" applyBorder="1" applyAlignment="1">
      <alignment/>
    </xf>
    <xf numFmtId="0" fontId="4" fillId="2" borderId="0" xfId="0" applyBorder="1" applyAlignment="1">
      <alignment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/>
    </xf>
    <xf numFmtId="0" fontId="4" fillId="2" borderId="0" xfId="0" applyBorder="1" applyAlignment="1">
      <alignment/>
    </xf>
    <xf numFmtId="5" fontId="0" fillId="2" borderId="12" xfId="0" applyBorder="1" applyAlignment="1">
      <alignment/>
    </xf>
    <xf numFmtId="5" fontId="0" fillId="2" borderId="13" xfId="0" applyBorder="1" applyAlignment="1">
      <alignment/>
    </xf>
    <xf numFmtId="5" fontId="0" fillId="2" borderId="0" xfId="0" applyBorder="1" applyAlignment="1">
      <alignment/>
    </xf>
    <xf numFmtId="3" fontId="0" fillId="2" borderId="0" xfId="0" applyBorder="1" applyAlignment="1">
      <alignment/>
    </xf>
    <xf numFmtId="0" fontId="0" fillId="2" borderId="0" xfId="0" applyBorder="1" applyAlignment="1">
      <alignment horizontal="center"/>
    </xf>
    <xf numFmtId="5" fontId="0" fillId="2" borderId="14" xfId="0" applyBorder="1" applyAlignment="1">
      <alignment/>
    </xf>
    <xf numFmtId="10" fontId="0" fillId="2" borderId="14" xfId="0" applyNumberFormat="1" applyBorder="1" applyAlignment="1">
      <alignment/>
    </xf>
    <xf numFmtId="5" fontId="0" fillId="2" borderId="15" xfId="0" applyBorder="1" applyAlignment="1">
      <alignment/>
    </xf>
    <xf numFmtId="0" fontId="2" fillId="2" borderId="0" xfId="0" applyFont="1" applyAlignment="1">
      <alignment/>
    </xf>
    <xf numFmtId="15" fontId="0" fillId="2" borderId="0" xfId="0" applyNumberFormat="1" applyAlignment="1" quotePrefix="1">
      <alignment/>
    </xf>
    <xf numFmtId="0" fontId="4" fillId="2" borderId="0" xfId="0" applyFont="1" applyAlignment="1">
      <alignment/>
    </xf>
    <xf numFmtId="10" fontId="0" fillId="2" borderId="4" xfId="0" applyNumberFormat="1" applyAlignment="1">
      <alignment/>
    </xf>
    <xf numFmtId="10" fontId="0" fillId="2" borderId="11" xfId="0" applyNumberFormat="1" applyAlignment="1">
      <alignment/>
    </xf>
    <xf numFmtId="0" fontId="4" fillId="2" borderId="0" xfId="0" applyFont="1" applyAlignment="1" quotePrefix="1">
      <alignment/>
    </xf>
    <xf numFmtId="0" fontId="4" fillId="2" borderId="0" xfId="0" applyFont="1" applyAlignment="1">
      <alignment/>
    </xf>
    <xf numFmtId="0" fontId="0" fillId="2" borderId="0" xfId="0" applyAlignment="1" quotePrefix="1">
      <alignment/>
    </xf>
    <xf numFmtId="0" fontId="8" fillId="2" borderId="0" xfId="0" applyFont="1" applyBorder="1" applyAlignment="1">
      <alignment/>
    </xf>
    <xf numFmtId="0" fontId="9" fillId="2" borderId="0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/>
    </xf>
    <xf numFmtId="5" fontId="0" fillId="2" borderId="16" xfId="0" applyBorder="1" applyAlignment="1">
      <alignment/>
    </xf>
    <xf numFmtId="5" fontId="0" fillId="2" borderId="17" xfId="0" applyBorder="1" applyAlignment="1">
      <alignment/>
    </xf>
    <xf numFmtId="5" fontId="0" fillId="2" borderId="18" xfId="0" applyBorder="1" applyAlignment="1">
      <alignment/>
    </xf>
    <xf numFmtId="5" fontId="0" fillId="2" borderId="19" xfId="0" applyBorder="1" applyAlignment="1">
      <alignment/>
    </xf>
    <xf numFmtId="5" fontId="0" fillId="2" borderId="20" xfId="0" applyBorder="1" applyAlignment="1">
      <alignment/>
    </xf>
    <xf numFmtId="5" fontId="0" fillId="2" borderId="21" xfId="0" applyBorder="1" applyAlignment="1">
      <alignment/>
    </xf>
    <xf numFmtId="5" fontId="0" fillId="2" borderId="22" xfId="0" applyBorder="1" applyAlignment="1">
      <alignment/>
    </xf>
    <xf numFmtId="0" fontId="0" fillId="2" borderId="23" xfId="0" applyBorder="1" applyAlignment="1">
      <alignment/>
    </xf>
    <xf numFmtId="0" fontId="0" fillId="2" borderId="24" xfId="0" applyBorder="1" applyAlignment="1">
      <alignment/>
    </xf>
    <xf numFmtId="3" fontId="0" fillId="2" borderId="25" xfId="0" applyBorder="1" applyAlignment="1">
      <alignment/>
    </xf>
    <xf numFmtId="164" fontId="0" fillId="2" borderId="25" xfId="0" applyBorder="1" applyAlignment="1">
      <alignment/>
    </xf>
    <xf numFmtId="5" fontId="0" fillId="2" borderId="26" xfId="0" applyBorder="1" applyAlignment="1">
      <alignment/>
    </xf>
    <xf numFmtId="5" fontId="0" fillId="2" borderId="27" xfId="0" applyBorder="1" applyAlignment="1">
      <alignment/>
    </xf>
    <xf numFmtId="0" fontId="0" fillId="2" borderId="6" xfId="0" applyBorder="1" applyAlignment="1">
      <alignment/>
    </xf>
    <xf numFmtId="0" fontId="0" fillId="2" borderId="0" xfId="0" applyBorder="1" applyAlignment="1">
      <alignment/>
    </xf>
    <xf numFmtId="0" fontId="0" fillId="2" borderId="28" xfId="0" applyBorder="1" applyAlignment="1">
      <alignment/>
    </xf>
    <xf numFmtId="164" fontId="0" fillId="2" borderId="28" xfId="0" applyBorder="1" applyAlignment="1">
      <alignment/>
    </xf>
    <xf numFmtId="5" fontId="0" fillId="2" borderId="29" xfId="0" applyBorder="1" applyAlignment="1">
      <alignment/>
    </xf>
    <xf numFmtId="5" fontId="0" fillId="2" borderId="30" xfId="0" applyBorder="1" applyAlignment="1">
      <alignment/>
    </xf>
    <xf numFmtId="5" fontId="0" fillId="2" borderId="31" xfId="0" applyBorder="1" applyAlignment="1">
      <alignment/>
    </xf>
    <xf numFmtId="3" fontId="0" fillId="2" borderId="1" xfId="0" applyBorder="1" applyAlignment="1">
      <alignment/>
    </xf>
    <xf numFmtId="164" fontId="0" fillId="2" borderId="1" xfId="0" applyBorder="1" applyAlignment="1">
      <alignment/>
    </xf>
    <xf numFmtId="5" fontId="0" fillId="2" borderId="5" xfId="0" applyBorder="1" applyAlignment="1">
      <alignment/>
    </xf>
    <xf numFmtId="5" fontId="0" fillId="2" borderId="8" xfId="0" applyBorder="1" applyAlignment="1">
      <alignment/>
    </xf>
    <xf numFmtId="5" fontId="0" fillId="2" borderId="4" xfId="0" applyBorder="1" applyAlignment="1">
      <alignment/>
    </xf>
    <xf numFmtId="164" fontId="0" fillId="2" borderId="0" xfId="0" applyBorder="1" applyAlignment="1">
      <alignment/>
    </xf>
    <xf numFmtId="5" fontId="0" fillId="2" borderId="6" xfId="0" applyBorder="1" applyAlignment="1">
      <alignment/>
    </xf>
    <xf numFmtId="5" fontId="0" fillId="2" borderId="2" xfId="0" applyBorder="1" applyAlignment="1">
      <alignment/>
    </xf>
    <xf numFmtId="5" fontId="0" fillId="2" borderId="11" xfId="0" applyBorder="1" applyAlignment="1">
      <alignment/>
    </xf>
    <xf numFmtId="0" fontId="0" fillId="2" borderId="5" xfId="0" applyBorder="1" applyAlignment="1">
      <alignment/>
    </xf>
    <xf numFmtId="0" fontId="0" fillId="2" borderId="1" xfId="0" applyBorder="1" applyAlignment="1">
      <alignment/>
    </xf>
    <xf numFmtId="3" fontId="0" fillId="2" borderId="0" xfId="0" applyBorder="1" applyAlignment="1">
      <alignment/>
    </xf>
    <xf numFmtId="0" fontId="0" fillId="2" borderId="7" xfId="0" applyBorder="1" applyAlignment="1">
      <alignment/>
    </xf>
    <xf numFmtId="0" fontId="0" fillId="2" borderId="9" xfId="0" applyBorder="1" applyAlignment="1">
      <alignment/>
    </xf>
    <xf numFmtId="5" fontId="0" fillId="2" borderId="7" xfId="0" applyBorder="1" applyAlignment="1">
      <alignment/>
    </xf>
    <xf numFmtId="5" fontId="0" fillId="2" borderId="3" xfId="0" applyBorder="1" applyAlignment="1">
      <alignment/>
    </xf>
    <xf numFmtId="5" fontId="0" fillId="2" borderId="10" xfId="0" applyBorder="1" applyAlignment="1">
      <alignment/>
    </xf>
    <xf numFmtId="5" fontId="0" fillId="2" borderId="9" xfId="0" applyBorder="1" applyAlignment="1">
      <alignment/>
    </xf>
    <xf numFmtId="0" fontId="0" fillId="2" borderId="32" xfId="0" applyBorder="1" applyAlignment="1">
      <alignment/>
    </xf>
    <xf numFmtId="0" fontId="0" fillId="2" borderId="11" xfId="0" applyBorder="1" applyAlignment="1">
      <alignment/>
    </xf>
    <xf numFmtId="0" fontId="0" fillId="2" borderId="10" xfId="0" applyBorder="1" applyAlignment="1">
      <alignment/>
    </xf>
    <xf numFmtId="5" fontId="0" fillId="2" borderId="33" xfId="0" applyBorder="1" applyAlignment="1">
      <alignment/>
    </xf>
    <xf numFmtId="164" fontId="0" fillId="2" borderId="14" xfId="0" applyBorder="1" applyAlignment="1">
      <alignment/>
    </xf>
    <xf numFmtId="0" fontId="0" fillId="2" borderId="14" xfId="0" applyBorder="1" applyAlignment="1">
      <alignment/>
    </xf>
    <xf numFmtId="0" fontId="0" fillId="2" borderId="19" xfId="0" applyBorder="1" applyAlignment="1">
      <alignment/>
    </xf>
    <xf numFmtId="164" fontId="0" fillId="2" borderId="2" xfId="0" applyBorder="1" applyAlignment="1">
      <alignment/>
    </xf>
    <xf numFmtId="0" fontId="0" fillId="2" borderId="3" xfId="0" applyBorder="1" applyAlignment="1">
      <alignment/>
    </xf>
    <xf numFmtId="0" fontId="0" fillId="2" borderId="16" xfId="0" applyBorder="1" applyAlignment="1">
      <alignment/>
    </xf>
    <xf numFmtId="0" fontId="0" fillId="2" borderId="22" xfId="0" applyBorder="1" applyAlignment="1">
      <alignment/>
    </xf>
    <xf numFmtId="5" fontId="0" fillId="2" borderId="34" xfId="0" applyBorder="1" applyAlignment="1">
      <alignment/>
    </xf>
    <xf numFmtId="5" fontId="0" fillId="2" borderId="0" xfId="0" applyBorder="1" applyAlignment="1">
      <alignment/>
    </xf>
    <xf numFmtId="5" fontId="0" fillId="2" borderId="35" xfId="0" applyBorder="1" applyAlignment="1">
      <alignment/>
    </xf>
    <xf numFmtId="0" fontId="0" fillId="2" borderId="36" xfId="0" applyBorder="1" applyAlignment="1">
      <alignment/>
    </xf>
    <xf numFmtId="0" fontId="0" fillId="2" borderId="37" xfId="0" applyBorder="1" applyAlignment="1">
      <alignment/>
    </xf>
    <xf numFmtId="164" fontId="0" fillId="2" borderId="38" xfId="0" applyBorder="1" applyAlignment="1">
      <alignment/>
    </xf>
    <xf numFmtId="5" fontId="0" fillId="2" borderId="39" xfId="0" applyBorder="1" applyAlignment="1">
      <alignment/>
    </xf>
    <xf numFmtId="5" fontId="0" fillId="2" borderId="38" xfId="0" applyBorder="1" applyAlignment="1">
      <alignment/>
    </xf>
    <xf numFmtId="5" fontId="0" fillId="2" borderId="40" xfId="0" applyBorder="1" applyAlignment="1">
      <alignment/>
    </xf>
    <xf numFmtId="5" fontId="0" fillId="2" borderId="41" xfId="0" applyBorder="1" applyAlignment="1">
      <alignment/>
    </xf>
    <xf numFmtId="5" fontId="0" fillId="2" borderId="37" xfId="0" applyBorder="1" applyAlignment="1">
      <alignment/>
    </xf>
    <xf numFmtId="5" fontId="0" fillId="2" borderId="42" xfId="0" applyBorder="1" applyAlignment="1">
      <alignment/>
    </xf>
    <xf numFmtId="10" fontId="0" fillId="2" borderId="38" xfId="0" applyNumberFormat="1" applyBorder="1" applyAlignment="1">
      <alignment/>
    </xf>
    <xf numFmtId="5" fontId="0" fillId="2" borderId="0" xfId="0" applyBorder="1" applyAlignment="1">
      <alignment/>
    </xf>
    <xf numFmtId="0" fontId="0" fillId="2" borderId="21" xfId="0" applyBorder="1" applyAlignment="1">
      <alignment/>
    </xf>
    <xf numFmtId="5" fontId="0" fillId="2" borderId="43" xfId="0" applyBorder="1" applyAlignment="1">
      <alignment/>
    </xf>
    <xf numFmtId="5" fontId="0" fillId="2" borderId="44" xfId="0" applyBorder="1" applyAlignment="1">
      <alignment/>
    </xf>
    <xf numFmtId="5" fontId="0" fillId="2" borderId="24" xfId="0" applyBorder="1" applyAlignment="1">
      <alignment/>
    </xf>
    <xf numFmtId="5" fontId="0" fillId="2" borderId="45" xfId="0" applyBorder="1" applyAlignment="1">
      <alignment/>
    </xf>
    <xf numFmtId="5" fontId="0" fillId="2" borderId="46" xfId="0" applyBorder="1" applyAlignment="1">
      <alignment/>
    </xf>
    <xf numFmtId="164" fontId="0" fillId="2" borderId="15" xfId="0" applyBorder="1" applyAlignment="1">
      <alignment/>
    </xf>
    <xf numFmtId="5" fontId="0" fillId="2" borderId="47" xfId="0" applyBorder="1" applyAlignment="1">
      <alignment/>
    </xf>
    <xf numFmtId="5" fontId="0" fillId="2" borderId="48" xfId="0" applyBorder="1" applyAlignment="1">
      <alignment/>
    </xf>
    <xf numFmtId="10" fontId="0" fillId="2" borderId="15" xfId="0" applyNumberFormat="1" applyBorder="1" applyAlignment="1">
      <alignment/>
    </xf>
    <xf numFmtId="0" fontId="0" fillId="2" borderId="49" xfId="0" applyBorder="1" applyAlignment="1">
      <alignment/>
    </xf>
    <xf numFmtId="0" fontId="0" fillId="2" borderId="50" xfId="0" applyBorder="1" applyAlignment="1">
      <alignment/>
    </xf>
    <xf numFmtId="5" fontId="0" fillId="2" borderId="49" xfId="0" applyBorder="1" applyAlignment="1">
      <alignment/>
    </xf>
    <xf numFmtId="5" fontId="0" fillId="2" borderId="51" xfId="0" applyBorder="1" applyAlignment="1">
      <alignment/>
    </xf>
    <xf numFmtId="5" fontId="0" fillId="2" borderId="50" xfId="0" applyBorder="1" applyAlignment="1">
      <alignment/>
    </xf>
    <xf numFmtId="5" fontId="0" fillId="2" borderId="0" xfId="0" applyBorder="1" applyAlignment="1">
      <alignment/>
    </xf>
    <xf numFmtId="5" fontId="0" fillId="2" borderId="52" xfId="0" applyBorder="1" applyAlignment="1">
      <alignment/>
    </xf>
    <xf numFmtId="5" fontId="0" fillId="2" borderId="23" xfId="0" applyBorder="1" applyAlignment="1">
      <alignment/>
    </xf>
    <xf numFmtId="5" fontId="0" fillId="2" borderId="32" xfId="0" applyBorder="1" applyAlignment="1">
      <alignment/>
    </xf>
    <xf numFmtId="0" fontId="4" fillId="2" borderId="0" xfId="0" applyFont="1" applyBorder="1" applyAlignment="1">
      <alignment/>
    </xf>
    <xf numFmtId="0" fontId="0" fillId="2" borderId="0" xfId="0" applyAlignment="1">
      <alignment horizontal="center"/>
    </xf>
    <xf numFmtId="0" fontId="4" fillId="2" borderId="0" xfId="0" applyFont="1" applyBorder="1" applyAlignment="1">
      <alignment horizontal="center"/>
    </xf>
    <xf numFmtId="0" fontId="4" fillId="2" borderId="0" xfId="0" applyFont="1" applyAlignment="1">
      <alignment horizontal="center"/>
    </xf>
    <xf numFmtId="0" fontId="0" fillId="3" borderId="46" xfId="0" applyBorder="1" applyAlignment="1">
      <alignment/>
    </xf>
    <xf numFmtId="0" fontId="0" fillId="3" borderId="12" xfId="0" applyBorder="1" applyAlignment="1">
      <alignment/>
    </xf>
    <xf numFmtId="0" fontId="0" fillId="3" borderId="13" xfId="0" applyBorder="1" applyAlignment="1">
      <alignment/>
    </xf>
    <xf numFmtId="0" fontId="5" fillId="2" borderId="23" xfId="0" applyBorder="1" applyAlignment="1">
      <alignment horizontal="center"/>
    </xf>
    <xf numFmtId="0" fontId="5" fillId="2" borderId="24" xfId="0" applyBorder="1" applyAlignment="1">
      <alignment horizontal="center"/>
    </xf>
    <xf numFmtId="0" fontId="5" fillId="2" borderId="24" xfId="0" applyFont="1" applyBorder="1" applyAlignment="1">
      <alignment horizontal="center"/>
    </xf>
    <xf numFmtId="0" fontId="0" fillId="2" borderId="24" xfId="0" applyBorder="1" applyAlignment="1">
      <alignment horizontal="center"/>
    </xf>
    <xf numFmtId="0" fontId="0" fillId="2" borderId="32" xfId="0" applyBorder="1" applyAlignment="1">
      <alignment horizontal="center"/>
    </xf>
    <xf numFmtId="0" fontId="5" fillId="2" borderId="6" xfId="0" applyBorder="1" applyAlignment="1">
      <alignment horizontal="center"/>
    </xf>
    <xf numFmtId="0" fontId="5" fillId="2" borderId="0" xfId="0" applyBorder="1" applyAlignment="1">
      <alignment horizontal="center"/>
    </xf>
    <xf numFmtId="0" fontId="6" fillId="2" borderId="0" xfId="0" applyBorder="1" applyAlignment="1">
      <alignment horizontal="center"/>
    </xf>
    <xf numFmtId="0" fontId="5" fillId="2" borderId="0" xfId="0" applyFont="1" applyBorder="1" applyAlignment="1">
      <alignment horizontal="center"/>
    </xf>
    <xf numFmtId="0" fontId="0" fillId="2" borderId="0" xfId="0" applyBorder="1" applyAlignment="1">
      <alignment horizontal="center"/>
    </xf>
    <xf numFmtId="0" fontId="7" fillId="2" borderId="11" xfId="0" applyFont="1" applyBorder="1" applyAlignment="1">
      <alignment horizontal="center"/>
    </xf>
    <xf numFmtId="0" fontId="5" fillId="2" borderId="7" xfId="0" applyBorder="1" applyAlignment="1">
      <alignment horizontal="center"/>
    </xf>
    <xf numFmtId="0" fontId="5" fillId="2" borderId="9" xfId="0" applyBorder="1" applyAlignment="1">
      <alignment horizontal="center"/>
    </xf>
    <xf numFmtId="0" fontId="5" fillId="2" borderId="9" xfId="0" applyFont="1" applyBorder="1" applyAlignment="1">
      <alignment horizontal="center"/>
    </xf>
    <xf numFmtId="0" fontId="0" fillId="2" borderId="9" xfId="0" applyBorder="1" applyAlignment="1">
      <alignment horizontal="center"/>
    </xf>
    <xf numFmtId="0" fontId="5" fillId="2" borderId="10" xfId="0" applyFont="1" applyBorder="1" applyAlignment="1" quotePrefix="1">
      <alignment horizontal="center"/>
    </xf>
    <xf numFmtId="0" fontId="4" fillId="2" borderId="0" xfId="0" applyFont="1" applyBorder="1" applyAlignment="1">
      <alignment horizontal="center"/>
    </xf>
    <xf numFmtId="0" fontId="4" fillId="2" borderId="0" xfId="0" applyFont="1" applyBorder="1" applyAlignment="1">
      <alignment horizontal="center"/>
    </xf>
    <xf numFmtId="0" fontId="4" fillId="2" borderId="0" xfId="0" applyFont="1" applyAlignment="1">
      <alignment horizontal="center"/>
    </xf>
    <xf numFmtId="0" fontId="4" fillId="2" borderId="0" xfId="0" applyFont="1" applyBorder="1" applyAlignment="1">
      <alignment horizontal="center"/>
    </xf>
    <xf numFmtId="5" fontId="4" fillId="2" borderId="53" xfId="0" applyNumberFormat="1" applyFont="1" applyBorder="1" applyAlignment="1">
      <alignment horizontal="center"/>
    </xf>
    <xf numFmtId="5" fontId="4" fillId="4" borderId="38" xfId="0" applyFont="1" applyFill="1" applyBorder="1" applyAlignment="1">
      <alignment/>
    </xf>
    <xf numFmtId="5" fontId="4" fillId="4" borderId="21" xfId="0" applyFont="1" applyFill="1" applyBorder="1" applyAlignment="1">
      <alignment/>
    </xf>
    <xf numFmtId="5" fontId="4" fillId="4" borderId="15" xfId="0" applyFont="1" applyFill="1" applyBorder="1" applyAlignment="1">
      <alignment/>
    </xf>
    <xf numFmtId="5" fontId="4" fillId="4" borderId="16" xfId="0" applyFont="1" applyFill="1" applyBorder="1" applyAlignment="1">
      <alignment/>
    </xf>
    <xf numFmtId="5" fontId="4" fillId="4" borderId="14" xfId="0" applyFont="1" applyFill="1" applyBorder="1" applyAlignment="1">
      <alignment/>
    </xf>
    <xf numFmtId="5" fontId="4" fillId="4" borderId="23" xfId="0" applyFont="1" applyFill="1" applyBorder="1" applyAlignment="1">
      <alignment/>
    </xf>
    <xf numFmtId="5" fontId="4" fillId="4" borderId="6" xfId="0" applyFont="1" applyFill="1" applyAlignment="1">
      <alignment/>
    </xf>
    <xf numFmtId="5" fontId="4" fillId="4" borderId="7" xfId="0" applyFont="1" applyFill="1" applyAlignment="1">
      <alignment/>
    </xf>
    <xf numFmtId="5" fontId="4" fillId="4" borderId="19" xfId="0" applyFont="1" applyFill="1" applyBorder="1" applyAlignment="1">
      <alignment/>
    </xf>
    <xf numFmtId="5" fontId="4" fillId="4" borderId="45" xfId="0" applyFont="1" applyFill="1" applyBorder="1" applyAlignment="1">
      <alignment/>
    </xf>
    <xf numFmtId="5" fontId="4" fillId="4" borderId="2" xfId="0" applyFont="1" applyFill="1" applyAlignment="1">
      <alignment/>
    </xf>
    <xf numFmtId="5" fontId="4" fillId="4" borderId="3" xfId="0" applyFont="1" applyFill="1" applyAlignment="1">
      <alignment/>
    </xf>
    <xf numFmtId="5" fontId="4" fillId="4" borderId="37" xfId="0" applyFont="1" applyFill="1" applyBorder="1" applyAlignment="1">
      <alignment/>
    </xf>
    <xf numFmtId="5" fontId="4" fillId="4" borderId="20" xfId="0" applyFont="1" applyFill="1" applyBorder="1" applyAlignment="1">
      <alignment/>
    </xf>
    <xf numFmtId="5" fontId="4" fillId="4" borderId="18" xfId="0" applyFont="1" applyFill="1" applyBorder="1" applyAlignment="1">
      <alignment/>
    </xf>
    <xf numFmtId="5" fontId="4" fillId="4" borderId="22" xfId="0" applyFont="1" applyFill="1" applyBorder="1" applyAlignment="1">
      <alignment/>
    </xf>
    <xf numFmtId="5" fontId="4" fillId="4" borderId="0" xfId="0" applyFont="1" applyFill="1" applyBorder="1" applyAlignment="1">
      <alignment/>
    </xf>
    <xf numFmtId="5" fontId="4" fillId="4" borderId="32" xfId="0" applyFont="1" applyFill="1" applyBorder="1" applyAlignment="1">
      <alignment/>
    </xf>
    <xf numFmtId="5" fontId="4" fillId="4" borderId="24" xfId="0" applyFont="1" applyFill="1" applyBorder="1" applyAlignment="1">
      <alignment/>
    </xf>
    <xf numFmtId="5" fontId="4" fillId="4" borderId="11" xfId="0" applyFont="1" applyFill="1" applyAlignment="1">
      <alignment/>
    </xf>
    <xf numFmtId="5" fontId="4" fillId="4" borderId="0" xfId="0" applyFont="1" applyFill="1" applyAlignment="1">
      <alignment/>
    </xf>
    <xf numFmtId="5" fontId="4" fillId="4" borderId="10" xfId="0" applyFont="1" applyFill="1" applyAlignment="1">
      <alignment/>
    </xf>
    <xf numFmtId="5" fontId="4" fillId="4" borderId="9" xfId="0" applyFont="1" applyFill="1" applyAlignment="1">
      <alignment/>
    </xf>
    <xf numFmtId="5" fontId="4" fillId="5" borderId="38" xfId="0" applyFont="1" applyFill="1" applyBorder="1" applyAlignment="1">
      <alignment/>
    </xf>
    <xf numFmtId="5" fontId="4" fillId="5" borderId="54" xfId="0" applyFont="1" applyFill="1" applyBorder="1" applyAlignment="1">
      <alignment/>
    </xf>
    <xf numFmtId="5" fontId="4" fillId="5" borderId="55" xfId="0" applyFont="1" applyFill="1" applyBorder="1" applyAlignment="1">
      <alignment/>
    </xf>
    <xf numFmtId="5" fontId="4" fillId="5" borderId="19" xfId="0" applyFont="1" applyFill="1" applyBorder="1" applyAlignment="1">
      <alignment/>
    </xf>
    <xf numFmtId="5" fontId="4" fillId="5" borderId="45" xfId="0" applyFont="1" applyFill="1" applyBorder="1" applyAlignment="1">
      <alignment/>
    </xf>
    <xf numFmtId="5" fontId="4" fillId="5" borderId="2" xfId="0" applyFont="1" applyFill="1" applyAlignment="1">
      <alignment/>
    </xf>
    <xf numFmtId="5" fontId="4" fillId="5" borderId="3" xfId="0" applyFont="1" applyFill="1" applyAlignment="1">
      <alignment/>
    </xf>
    <xf numFmtId="5" fontId="0" fillId="2" borderId="0" xfId="0" applyBorder="1" applyAlignment="1">
      <alignment/>
    </xf>
    <xf numFmtId="5" fontId="0" fillId="2" borderId="0" xfId="0" applyBorder="1" applyAlignment="1">
      <alignment/>
    </xf>
    <xf numFmtId="5" fontId="4" fillId="4" borderId="41" xfId="0" applyFont="1" applyFill="1" applyBorder="1" applyAlignment="1">
      <alignment/>
    </xf>
    <xf numFmtId="5" fontId="4" fillId="4" borderId="54" xfId="0" applyFont="1" applyFill="1" applyBorder="1" applyAlignment="1">
      <alignment/>
    </xf>
    <xf numFmtId="5" fontId="4" fillId="4" borderId="55" xfId="0" applyFont="1" applyFill="1" applyBorder="1" applyAlignment="1">
      <alignment/>
    </xf>
    <xf numFmtId="5" fontId="4" fillId="4" borderId="0" xfId="0" applyFont="1" applyFill="1" applyBorder="1" applyAlignment="1">
      <alignment/>
    </xf>
    <xf numFmtId="5" fontId="4" fillId="4" borderId="56" xfId="0" applyFont="1" applyFill="1" applyBorder="1" applyAlignment="1">
      <alignment/>
    </xf>
    <xf numFmtId="5" fontId="4" fillId="4" borderId="57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7"/>
  <sheetViews>
    <sheetView showGridLines="0" tabSelected="1" zoomScale="75" zoomScaleNormal="75" workbookViewId="0" topLeftCell="A1">
      <selection activeCell="A11" sqref="A11"/>
    </sheetView>
  </sheetViews>
  <sheetFormatPr defaultColWidth="8.88671875" defaultRowHeight="15"/>
  <cols>
    <col min="1" max="1" width="1.4375" style="0" customWidth="1"/>
    <col min="2" max="2" width="4.5546875" style="0" customWidth="1"/>
    <col min="3" max="3" width="9.21484375" style="0" customWidth="1"/>
    <col min="4" max="9" width="12.3359375" style="0" customWidth="1"/>
    <col min="10" max="12" width="13.10546875" style="0" customWidth="1"/>
    <col min="13" max="15" width="10.5546875" style="0" customWidth="1"/>
    <col min="16" max="16" width="11.3359375" style="0" customWidth="1"/>
    <col min="17" max="17" width="10.99609375" style="0" customWidth="1"/>
    <col min="18" max="18" width="14.21484375" style="0" customWidth="1"/>
    <col min="19" max="19" width="12.21484375" style="0" customWidth="1"/>
    <col min="20" max="20" width="1.4375" style="0" hidden="1" customWidth="1"/>
    <col min="21" max="21" width="11.88671875" style="0" customWidth="1"/>
    <col min="23" max="23" width="12.3359375" style="0" customWidth="1"/>
    <col min="24" max="24" width="1.4375" style="0" customWidth="1"/>
    <col min="25" max="25" width="10.77734375" style="0" customWidth="1"/>
    <col min="26" max="26" width="1.4375" style="0" customWidth="1"/>
    <col min="27" max="27" width="7.99609375" style="0" customWidth="1"/>
    <col min="28" max="28" width="1.4375" style="0" customWidth="1"/>
    <col min="29" max="29" width="17.77734375" style="0" customWidth="1"/>
    <col min="30" max="30" width="1.4375" style="0" customWidth="1"/>
    <col min="31" max="31" width="17.77734375" style="0" customWidth="1"/>
    <col min="32" max="32" width="1.4375" style="0" customWidth="1"/>
    <col min="33" max="16384" width="7.99609375" style="0" customWidth="1"/>
  </cols>
  <sheetData>
    <row r="2" spans="4:18" ht="18.75"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</row>
    <row r="3" spans="3:18" ht="18.75">
      <c r="C3" s="8"/>
      <c r="D3" s="8"/>
      <c r="E3" s="8"/>
      <c r="F3" s="8"/>
      <c r="G3" s="8"/>
      <c r="H3" s="50"/>
      <c r="I3" s="8"/>
      <c r="J3" s="50" t="s">
        <v>93</v>
      </c>
      <c r="K3" s="8"/>
      <c r="L3" s="8"/>
      <c r="M3" s="8"/>
      <c r="N3" s="8"/>
      <c r="O3" s="8"/>
      <c r="P3" s="8"/>
      <c r="Q3" s="9"/>
      <c r="R3" s="9"/>
    </row>
    <row r="4" spans="8:18" ht="15.75">
      <c r="H4" s="56"/>
      <c r="I4" s="56" t="s">
        <v>92</v>
      </c>
      <c r="J4" s="56"/>
      <c r="R4" s="52"/>
    </row>
    <row r="5" spans="1:23" ht="18">
      <c r="A5" s="36" t="s">
        <v>1</v>
      </c>
      <c r="B5" s="36"/>
      <c r="C5" s="36"/>
      <c r="D5" s="36"/>
      <c r="E5" s="36"/>
      <c r="F5" s="36"/>
      <c r="G5" s="36"/>
      <c r="H5" s="144"/>
      <c r="I5" s="36"/>
      <c r="J5" s="144" t="s">
        <v>94</v>
      </c>
      <c r="K5" s="36"/>
      <c r="L5" s="36"/>
      <c r="M5" s="36"/>
      <c r="N5" s="36"/>
      <c r="O5" s="36"/>
      <c r="P5" s="36"/>
      <c r="Q5" s="36"/>
      <c r="R5" s="36"/>
      <c r="S5" s="58"/>
      <c r="T5" s="36"/>
      <c r="U5" s="36"/>
      <c r="V5" s="36"/>
      <c r="W5" s="36"/>
    </row>
    <row r="6" spans="1:24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5"/>
    </row>
    <row r="7" spans="1:24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35"/>
    </row>
    <row r="8" spans="1:23" ht="15.75">
      <c r="A8" s="38"/>
      <c r="B8" s="38"/>
      <c r="C8" s="146" t="s">
        <v>79</v>
      </c>
      <c r="D8" s="39">
        <v>2003</v>
      </c>
      <c r="E8" s="61">
        <v>2005</v>
      </c>
      <c r="F8" s="167" t="s">
        <v>76</v>
      </c>
      <c r="G8" s="39">
        <v>2003</v>
      </c>
      <c r="H8" s="61">
        <v>2005</v>
      </c>
      <c r="I8" s="167" t="s">
        <v>76</v>
      </c>
      <c r="J8" s="39">
        <v>2005</v>
      </c>
      <c r="K8" s="61">
        <v>2005</v>
      </c>
      <c r="L8" s="167" t="s">
        <v>76</v>
      </c>
      <c r="M8" s="39">
        <v>2003</v>
      </c>
      <c r="N8" s="61">
        <v>2005</v>
      </c>
      <c r="O8" s="167" t="s">
        <v>76</v>
      </c>
      <c r="P8" s="167">
        <v>2005</v>
      </c>
      <c r="Q8" s="167">
        <v>2005</v>
      </c>
      <c r="R8" s="167"/>
      <c r="S8" s="39"/>
      <c r="T8" s="39"/>
      <c r="U8" s="39"/>
      <c r="V8" s="39"/>
      <c r="W8" s="38"/>
    </row>
    <row r="9" spans="3:22" ht="15.75">
      <c r="C9" s="147" t="s">
        <v>48</v>
      </c>
      <c r="D9" s="60" t="s">
        <v>74</v>
      </c>
      <c r="E9" s="171">
        <v>4407</v>
      </c>
      <c r="F9" s="168" t="s">
        <v>113</v>
      </c>
      <c r="G9" s="13" t="s">
        <v>72</v>
      </c>
      <c r="H9" s="171">
        <v>109893</v>
      </c>
      <c r="I9" s="168" t="s">
        <v>113</v>
      </c>
      <c r="J9" s="13" t="s">
        <v>73</v>
      </c>
      <c r="K9" s="171">
        <v>219176</v>
      </c>
      <c r="L9" s="168" t="s">
        <v>113</v>
      </c>
      <c r="M9" s="13" t="s">
        <v>75</v>
      </c>
      <c r="N9" s="171">
        <v>358249</v>
      </c>
      <c r="O9" s="168" t="s">
        <v>113</v>
      </c>
      <c r="P9" s="169" t="s">
        <v>63</v>
      </c>
      <c r="Q9" s="169" t="s">
        <v>50</v>
      </c>
      <c r="R9" s="169" t="s">
        <v>106</v>
      </c>
      <c r="S9" s="13" t="s">
        <v>88</v>
      </c>
      <c r="T9" s="13"/>
      <c r="U9" s="13"/>
      <c r="V9" s="13"/>
    </row>
    <row r="10" spans="2:22" ht="15.75">
      <c r="B10" t="s">
        <v>68</v>
      </c>
      <c r="C10" s="147" t="s">
        <v>80</v>
      </c>
      <c r="D10" s="13" t="s">
        <v>71</v>
      </c>
      <c r="E10" s="39" t="s">
        <v>54</v>
      </c>
      <c r="F10" s="169" t="s">
        <v>83</v>
      </c>
      <c r="G10" s="13" t="s">
        <v>42</v>
      </c>
      <c r="H10" s="39" t="s">
        <v>54</v>
      </c>
      <c r="I10" s="169" t="s">
        <v>116</v>
      </c>
      <c r="J10" s="13" t="s">
        <v>52</v>
      </c>
      <c r="K10" s="39" t="s">
        <v>54</v>
      </c>
      <c r="L10" s="169" t="s">
        <v>84</v>
      </c>
      <c r="M10" s="13" t="s">
        <v>58</v>
      </c>
      <c r="N10" s="39" t="s">
        <v>54</v>
      </c>
      <c r="O10" s="169" t="s">
        <v>86</v>
      </c>
      <c r="P10" s="169" t="s">
        <v>26</v>
      </c>
      <c r="Q10" s="169" t="s">
        <v>26</v>
      </c>
      <c r="R10" s="169" t="s">
        <v>43</v>
      </c>
      <c r="S10" s="13" t="s">
        <v>43</v>
      </c>
      <c r="T10" s="13"/>
      <c r="U10" s="13"/>
      <c r="V10" s="33" t="s">
        <v>77</v>
      </c>
    </row>
    <row r="11" spans="3:23" ht="15.75">
      <c r="C11" s="147" t="s">
        <v>111</v>
      </c>
      <c r="D11" s="13" t="s">
        <v>69</v>
      </c>
      <c r="E11" s="13" t="s">
        <v>82</v>
      </c>
      <c r="F11" s="170" t="s">
        <v>71</v>
      </c>
      <c r="G11" s="13" t="s">
        <v>55</v>
      </c>
      <c r="H11" s="13" t="s">
        <v>82</v>
      </c>
      <c r="I11" s="170" t="s">
        <v>42</v>
      </c>
      <c r="J11" s="13" t="s">
        <v>55</v>
      </c>
      <c r="K11" s="13" t="s">
        <v>82</v>
      </c>
      <c r="L11" s="170" t="s">
        <v>85</v>
      </c>
      <c r="M11" s="13" t="s">
        <v>40</v>
      </c>
      <c r="N11" s="13" t="s">
        <v>82</v>
      </c>
      <c r="O11" s="170" t="s">
        <v>87</v>
      </c>
      <c r="P11" s="169" t="s">
        <v>28</v>
      </c>
      <c r="Q11" s="169" t="s">
        <v>28</v>
      </c>
      <c r="R11" s="169" t="s">
        <v>34</v>
      </c>
      <c r="S11" s="13" t="s">
        <v>31</v>
      </c>
      <c r="T11" s="13"/>
      <c r="U11" s="13" t="s">
        <v>45</v>
      </c>
      <c r="V11" s="34" t="s">
        <v>78</v>
      </c>
      <c r="W11" t="s">
        <v>64</v>
      </c>
    </row>
    <row r="12" spans="3:22" ht="16.5" thickBot="1">
      <c r="C12" s="147" t="s">
        <v>81</v>
      </c>
      <c r="D12" s="59"/>
      <c r="E12" s="59" t="s">
        <v>112</v>
      </c>
      <c r="F12" s="170" t="s">
        <v>69</v>
      </c>
      <c r="G12" s="59"/>
      <c r="H12" s="59" t="s">
        <v>112</v>
      </c>
      <c r="I12" s="170" t="s">
        <v>55</v>
      </c>
      <c r="J12" s="59"/>
      <c r="K12" s="59" t="s">
        <v>112</v>
      </c>
      <c r="L12" s="170" t="s">
        <v>55</v>
      </c>
      <c r="M12" s="59"/>
      <c r="N12" s="59" t="s">
        <v>112</v>
      </c>
      <c r="O12" s="170" t="s">
        <v>40</v>
      </c>
      <c r="P12" s="59" t="s">
        <v>112</v>
      </c>
      <c r="Q12" s="59" t="s">
        <v>112</v>
      </c>
      <c r="R12" s="169"/>
      <c r="S12" s="13"/>
      <c r="T12" s="13"/>
      <c r="U12" s="46"/>
      <c r="V12" s="46"/>
    </row>
    <row r="13" spans="1:25" ht="16.5" thickBot="1">
      <c r="A13" s="114"/>
      <c r="B13" s="115" t="s">
        <v>8</v>
      </c>
      <c r="C13" s="116">
        <f>+'2005 Svcs Formula '!K13</f>
        <v>0.02833669795764819</v>
      </c>
      <c r="D13" s="117">
        <v>728288</v>
      </c>
      <c r="E13" s="67">
        <f>ROUND($E$9*$C13,0)</f>
        <v>125</v>
      </c>
      <c r="F13" s="204">
        <f>SUM(D13:E13)</f>
        <v>728413</v>
      </c>
      <c r="G13" s="117">
        <v>699077</v>
      </c>
      <c r="H13" s="119">
        <f>ROUND($H$9*$C13,0)</f>
        <v>3114</v>
      </c>
      <c r="I13" s="172">
        <f>SUM(G13:H13)</f>
        <v>702191</v>
      </c>
      <c r="J13" s="120">
        <v>368452</v>
      </c>
      <c r="K13" s="119">
        <f>ROUND($K$9*$C13,0)</f>
        <v>6211</v>
      </c>
      <c r="L13" s="172">
        <f>SUM(J13:K13)</f>
        <v>374663</v>
      </c>
      <c r="M13" s="121">
        <v>276870</v>
      </c>
      <c r="N13" s="119">
        <f>ROUND($N$9*$C13,0)</f>
        <v>10152</v>
      </c>
      <c r="O13" s="172">
        <f>SUM(M13:N13)</f>
        <v>287022</v>
      </c>
      <c r="P13" s="184">
        <f>'2005 Admin Formula'!L13</f>
        <v>330972</v>
      </c>
      <c r="Q13" s="184">
        <f>'2005 Admin Formula'!M13</f>
        <v>15593</v>
      </c>
      <c r="R13" s="195">
        <f>+F13+I13+L13+O13+P13+Q13</f>
        <v>2438854</v>
      </c>
      <c r="S13" s="118">
        <v>2425660</v>
      </c>
      <c r="T13" s="122"/>
      <c r="U13" s="119">
        <f>R13-S13</f>
        <v>13194</v>
      </c>
      <c r="V13" s="123">
        <f>SUM(U13/S13)</f>
        <v>0.0054393443433952</v>
      </c>
      <c r="W13" s="44">
        <f>+F13+I13+L13+O13</f>
        <v>2092289</v>
      </c>
      <c r="Y13" s="2"/>
    </row>
    <row r="14" spans="1:25" ht="15.75">
      <c r="A14" s="69"/>
      <c r="B14" s="100"/>
      <c r="C14" s="125"/>
      <c r="D14" s="126"/>
      <c r="E14" s="67"/>
      <c r="F14" s="205"/>
      <c r="G14" s="126"/>
      <c r="H14" s="66"/>
      <c r="I14" s="173"/>
      <c r="J14" s="126"/>
      <c r="K14" s="67"/>
      <c r="L14" s="173"/>
      <c r="M14" s="126"/>
      <c r="N14" s="66"/>
      <c r="O14" s="185"/>
      <c r="P14" s="185"/>
      <c r="Q14" s="173"/>
      <c r="R14" s="196"/>
      <c r="S14" s="127"/>
      <c r="T14" s="128"/>
      <c r="U14" s="130"/>
      <c r="V14" s="67"/>
      <c r="W14" s="44"/>
      <c r="Y14" s="2"/>
    </row>
    <row r="15" spans="1:25" ht="16.5" thickBot="1">
      <c r="A15" s="94"/>
      <c r="B15" s="102" t="s">
        <v>11</v>
      </c>
      <c r="C15" s="131">
        <f>+'2005 Svcs Formula '!K15</f>
        <v>0.033954886725567054</v>
      </c>
      <c r="D15" s="132">
        <v>839980</v>
      </c>
      <c r="E15" s="49">
        <f>ROUND($E$9*$C15,0)</f>
        <v>150</v>
      </c>
      <c r="F15" s="206">
        <f>SUM(D15:E15)</f>
        <v>840130</v>
      </c>
      <c r="G15" s="132">
        <v>806289</v>
      </c>
      <c r="H15" s="64">
        <f>ROUND($H$9*$C15,0)</f>
        <v>3731</v>
      </c>
      <c r="I15" s="174">
        <f>SUM(G15:H15)</f>
        <v>810020</v>
      </c>
      <c r="J15" s="132">
        <v>424959</v>
      </c>
      <c r="K15" s="49">
        <f>ROUND($K$9*$C15,0)</f>
        <v>7442</v>
      </c>
      <c r="L15" s="174">
        <f>SUM(J15:K15)</f>
        <v>432401</v>
      </c>
      <c r="M15" s="132">
        <v>319331</v>
      </c>
      <c r="N15" s="64">
        <f>ROUND($N$9*$C15,0)</f>
        <v>12164</v>
      </c>
      <c r="O15" s="186">
        <f>SUM(M15:N15)</f>
        <v>331495</v>
      </c>
      <c r="P15" s="186">
        <f>'2005 Admin Formula'!L15</f>
        <v>432564</v>
      </c>
      <c r="Q15" s="174">
        <f>'2005 Admin Formula'!M15</f>
        <v>20380</v>
      </c>
      <c r="R15" s="197">
        <f>+F15+I15+L15+O15+P15+Q15</f>
        <v>2866990</v>
      </c>
      <c r="S15" s="133">
        <v>2850597</v>
      </c>
      <c r="T15" s="99"/>
      <c r="U15" s="43">
        <f>R15-S15</f>
        <v>16393</v>
      </c>
      <c r="V15" s="134">
        <f>SUM(U15/S15)</f>
        <v>0.005750725198967094</v>
      </c>
      <c r="W15" s="44">
        <f>+F15+I15+L15+O15</f>
        <v>2414046</v>
      </c>
      <c r="Y15" s="2"/>
    </row>
    <row r="16" spans="1:25" ht="15.75">
      <c r="A16" s="109"/>
      <c r="B16" s="110"/>
      <c r="C16" s="105"/>
      <c r="D16" s="202"/>
      <c r="E16" s="47"/>
      <c r="F16" s="207"/>
      <c r="G16" s="62"/>
      <c r="H16" s="62"/>
      <c r="I16" s="175"/>
      <c r="J16" s="65"/>
      <c r="K16" s="65"/>
      <c r="L16" s="180"/>
      <c r="M16" s="68"/>
      <c r="N16" s="68"/>
      <c r="O16" s="187"/>
      <c r="P16" s="187"/>
      <c r="Q16" s="188"/>
      <c r="R16" s="198"/>
      <c r="S16" s="65"/>
      <c r="T16" s="112"/>
      <c r="U16" s="113"/>
      <c r="V16" s="47"/>
      <c r="W16" s="44"/>
      <c r="Y16" s="2"/>
    </row>
    <row r="17" spans="1:25" ht="16.5" thickBot="1">
      <c r="A17" s="135"/>
      <c r="B17" s="136" t="s">
        <v>13</v>
      </c>
      <c r="C17" s="104">
        <f>+'2005 Svcs Formula '!K17</f>
        <v>0.08981095076430085</v>
      </c>
      <c r="D17" s="203">
        <v>2215211</v>
      </c>
      <c r="E17" s="47">
        <f>ROUND($E$9*$C17,0)</f>
        <v>396</v>
      </c>
      <c r="F17" s="208">
        <f>SUM(D17:E17)</f>
        <v>2215607</v>
      </c>
      <c r="G17" s="137">
        <v>2126362</v>
      </c>
      <c r="H17" s="111">
        <f>ROUND($H$9*$C17,0)</f>
        <v>9870</v>
      </c>
      <c r="I17" s="176">
        <f>SUM(G17:H17)</f>
        <v>2136232</v>
      </c>
      <c r="J17" s="138">
        <v>1120710</v>
      </c>
      <c r="K17" s="47">
        <f>ROUND($K$9*$C17,0)</f>
        <v>19684</v>
      </c>
      <c r="L17" s="176">
        <f>SUM(J17:K17)</f>
        <v>1140394</v>
      </c>
      <c r="M17" s="139">
        <v>842147</v>
      </c>
      <c r="N17" s="111">
        <f>ROUND($N$9*$C17,0)</f>
        <v>32175</v>
      </c>
      <c r="O17" s="176">
        <f>SUM(M17:N17)</f>
        <v>874322</v>
      </c>
      <c r="P17" s="186">
        <f>'2005 Admin Formula'!L17</f>
        <v>801214.8500000001</v>
      </c>
      <c r="Q17" s="174">
        <f>'2005 Admin Formula'!M17</f>
        <v>37748</v>
      </c>
      <c r="R17" s="197">
        <f>+F17+I17+L17+O17+P17+Q17</f>
        <v>7205517.85</v>
      </c>
      <c r="S17" s="133">
        <v>7160273</v>
      </c>
      <c r="T17" s="140"/>
      <c r="U17" s="141">
        <f>R17-S17</f>
        <v>45244.84999999963</v>
      </c>
      <c r="V17" s="48">
        <f>SUM(U17/S17)</f>
        <v>0.0063188721994258635</v>
      </c>
      <c r="W17" s="44">
        <f>+F17+I17+L17+O17</f>
        <v>6366555</v>
      </c>
      <c r="Y17" s="2"/>
    </row>
    <row r="18" spans="1:25" ht="15.75">
      <c r="A18" s="69"/>
      <c r="B18" s="100"/>
      <c r="C18" s="125"/>
      <c r="D18" s="126"/>
      <c r="E18" s="67"/>
      <c r="F18" s="209"/>
      <c r="G18" s="142"/>
      <c r="H18" s="142"/>
      <c r="I18" s="177"/>
      <c r="J18" s="129"/>
      <c r="K18" s="129"/>
      <c r="L18" s="181"/>
      <c r="M18" s="143"/>
      <c r="N18" s="143"/>
      <c r="O18" s="189"/>
      <c r="P18" s="189"/>
      <c r="Q18" s="190"/>
      <c r="R18" s="199"/>
      <c r="S18" s="129"/>
      <c r="T18" s="128"/>
      <c r="U18" s="130"/>
      <c r="V18" s="67"/>
      <c r="W18" s="44"/>
      <c r="Y18" s="2"/>
    </row>
    <row r="19" spans="1:25" ht="16.5" thickBot="1">
      <c r="A19" s="94"/>
      <c r="B19" s="102" t="s">
        <v>14</v>
      </c>
      <c r="C19" s="131">
        <f>+'2005 Svcs Formula '!K19</f>
        <v>0.08060811792591574</v>
      </c>
      <c r="D19" s="132">
        <v>1969794</v>
      </c>
      <c r="E19" s="49">
        <f>ROUND($E$9*$C19,0)</f>
        <v>355</v>
      </c>
      <c r="F19" s="206">
        <f>SUM(D19:E19)</f>
        <v>1970149</v>
      </c>
      <c r="G19" s="96">
        <v>1890788</v>
      </c>
      <c r="H19" s="64">
        <f>ROUND($H$9*$C19,0)</f>
        <v>8858</v>
      </c>
      <c r="I19" s="174">
        <f>SUM(G19:H19)</f>
        <v>1899646</v>
      </c>
      <c r="J19" s="97">
        <v>996550</v>
      </c>
      <c r="K19" s="49">
        <f>ROUND($K$9*$C19,0)</f>
        <v>17667</v>
      </c>
      <c r="L19" s="174">
        <f>SUM(J19:K19)</f>
        <v>1014217</v>
      </c>
      <c r="M19" s="98">
        <v>748848</v>
      </c>
      <c r="N19" s="64">
        <f>ROUND($N$9*$C19,0)</f>
        <v>28878</v>
      </c>
      <c r="O19" s="174">
        <f>SUM(M19:N19)</f>
        <v>777726</v>
      </c>
      <c r="P19" s="186">
        <f>'2005 Admin Formula'!L19</f>
        <v>648193.66</v>
      </c>
      <c r="Q19" s="174">
        <f>'2005 Admin Formula'!M19</f>
        <v>30539</v>
      </c>
      <c r="R19" s="197">
        <f>+F19+I19+L19+O19+P19+Q19</f>
        <v>6340470.66</v>
      </c>
      <c r="S19" s="133">
        <v>6300479</v>
      </c>
      <c r="T19" s="99"/>
      <c r="U19" s="43">
        <f>R19-S19</f>
        <v>39991.66000000015</v>
      </c>
      <c r="V19" s="134">
        <f>SUM(U19/S19)</f>
        <v>0.006347399935782684</v>
      </c>
      <c r="W19" s="44">
        <f>+F19+I19+L19+O19</f>
        <v>5661738</v>
      </c>
      <c r="Y19" s="2"/>
    </row>
    <row r="20" spans="1:25" ht="15.75">
      <c r="A20" s="109"/>
      <c r="B20" s="110"/>
      <c r="C20" s="105"/>
      <c r="D20" s="202"/>
      <c r="E20" s="47"/>
      <c r="F20" s="207"/>
      <c r="G20" s="62"/>
      <c r="H20" s="62"/>
      <c r="I20" s="175"/>
      <c r="J20" s="65"/>
      <c r="K20" s="65"/>
      <c r="L20" s="180"/>
      <c r="M20" s="68"/>
      <c r="N20" s="68"/>
      <c r="O20" s="187"/>
      <c r="P20" s="187"/>
      <c r="Q20" s="188"/>
      <c r="R20" s="198"/>
      <c r="S20" s="65"/>
      <c r="T20" s="112"/>
      <c r="U20" s="113"/>
      <c r="V20" s="47"/>
      <c r="W20" s="44"/>
      <c r="Y20" s="2"/>
    </row>
    <row r="21" spans="1:25" ht="16.5" thickBot="1">
      <c r="A21" s="135"/>
      <c r="B21" s="136" t="s">
        <v>15</v>
      </c>
      <c r="C21" s="104">
        <f>+'2005 Svcs Formula '!K21</f>
        <v>0.08484529040880802</v>
      </c>
      <c r="D21" s="203">
        <v>1821257</v>
      </c>
      <c r="E21" s="47">
        <f>ROUND($E$9*$C21,0)</f>
        <v>374</v>
      </c>
      <c r="F21" s="208">
        <f>SUM(D21:E21)</f>
        <v>1821631</v>
      </c>
      <c r="G21" s="137">
        <v>1748209</v>
      </c>
      <c r="H21" s="111">
        <f>ROUND($H$9*$C21,0)</f>
        <v>9324</v>
      </c>
      <c r="I21" s="176">
        <f>SUM(G21:H21)</f>
        <v>1757533</v>
      </c>
      <c r="J21" s="138">
        <v>921403</v>
      </c>
      <c r="K21" s="47">
        <f>ROUND($K$9*$C21,0)</f>
        <v>18596</v>
      </c>
      <c r="L21" s="176">
        <f>SUM(J21:K21)</f>
        <v>939999</v>
      </c>
      <c r="M21" s="139">
        <v>692379</v>
      </c>
      <c r="N21" s="111">
        <f>ROUND($N$9*$C21,0)</f>
        <v>30396</v>
      </c>
      <c r="O21" s="176">
        <f>SUM(M21:N21)</f>
        <v>722775</v>
      </c>
      <c r="P21" s="186">
        <f>'2005 Admin Formula'!L21</f>
        <v>617732.66</v>
      </c>
      <c r="Q21" s="174">
        <f>'2005 Admin Formula'!M21</f>
        <v>29103</v>
      </c>
      <c r="R21" s="197">
        <f>+F21+I21+L21+O21+P21+Q21</f>
        <v>5888773.66</v>
      </c>
      <c r="S21" s="133">
        <v>5846941</v>
      </c>
      <c r="T21" s="140"/>
      <c r="U21" s="141">
        <f>R21-S21</f>
        <v>41832.66000000015</v>
      </c>
      <c r="V21" s="48">
        <f>SUM(U21/S21)</f>
        <v>0.007154623246583153</v>
      </c>
      <c r="W21" s="44">
        <f>+F21+I21+L21+O21</f>
        <v>5241938</v>
      </c>
      <c r="Y21" s="2"/>
    </row>
    <row r="22" spans="1:25" ht="15.75">
      <c r="A22" s="69"/>
      <c r="B22" s="100"/>
      <c r="C22" s="125"/>
      <c r="D22" s="126"/>
      <c r="E22" s="67"/>
      <c r="F22" s="209"/>
      <c r="G22" s="142"/>
      <c r="H22" s="142"/>
      <c r="I22" s="177"/>
      <c r="J22" s="129"/>
      <c r="K22" s="129"/>
      <c r="L22" s="181"/>
      <c r="M22" s="143"/>
      <c r="N22" s="143"/>
      <c r="O22" s="189"/>
      <c r="P22" s="189"/>
      <c r="Q22" s="190"/>
      <c r="R22" s="199"/>
      <c r="S22" s="129"/>
      <c r="T22" s="128"/>
      <c r="U22" s="130"/>
      <c r="V22" s="67"/>
      <c r="W22" s="44"/>
      <c r="Y22" s="2"/>
    </row>
    <row r="23" spans="1:25" ht="16.5" thickBot="1">
      <c r="A23" s="94"/>
      <c r="B23" s="102" t="s">
        <v>17</v>
      </c>
      <c r="C23" s="131">
        <f>+'2005 Svcs Formula '!K23</f>
        <v>0.10558472573303786</v>
      </c>
      <c r="D23" s="132">
        <v>2535369</v>
      </c>
      <c r="E23" s="49">
        <f>ROUND($E$9*$C23,0)</f>
        <v>465</v>
      </c>
      <c r="F23" s="206">
        <f>SUM(D23:E23)</f>
        <v>2535834</v>
      </c>
      <c r="G23" s="96">
        <v>2433679</v>
      </c>
      <c r="H23" s="64">
        <f>ROUND($H$9*$C23,0)</f>
        <v>11603</v>
      </c>
      <c r="I23" s="174">
        <f>SUM(G23:H23)</f>
        <v>2445282</v>
      </c>
      <c r="J23" s="97">
        <v>1282683</v>
      </c>
      <c r="K23" s="49">
        <f>ROUND($K$9*$C23,0)</f>
        <v>23142</v>
      </c>
      <c r="L23" s="174">
        <f>SUM(J23:K23)</f>
        <v>1305825</v>
      </c>
      <c r="M23" s="98">
        <v>963860</v>
      </c>
      <c r="N23" s="64">
        <f>ROUND($N$9*$C23,0)</f>
        <v>37826</v>
      </c>
      <c r="O23" s="174">
        <f>SUM(M23:N23)</f>
        <v>1001686</v>
      </c>
      <c r="P23" s="186">
        <f>'2005 Admin Formula'!L23</f>
        <v>779039.8900000001</v>
      </c>
      <c r="Q23" s="174">
        <f>'2005 Admin Formula'!M23</f>
        <v>36703</v>
      </c>
      <c r="R23" s="197">
        <f>+F23+I23+L23+O23+P23+Q23</f>
        <v>8104369.890000001</v>
      </c>
      <c r="S23" s="133">
        <v>8052423</v>
      </c>
      <c r="T23" s="99"/>
      <c r="U23" s="43">
        <f>R23-S23</f>
        <v>51946.890000000596</v>
      </c>
      <c r="V23" s="134">
        <f>SUM(U23/S23)</f>
        <v>0.0064510880762225975</v>
      </c>
      <c r="W23" s="44">
        <f>+F23+I23+L23+O23</f>
        <v>7288627</v>
      </c>
      <c r="Y23" s="2"/>
    </row>
    <row r="24" spans="1:25" ht="15.75">
      <c r="A24" s="109"/>
      <c r="B24" s="110"/>
      <c r="C24" s="105"/>
      <c r="D24" s="202"/>
      <c r="E24" s="47"/>
      <c r="F24" s="207"/>
      <c r="G24" s="62"/>
      <c r="H24" s="62"/>
      <c r="I24" s="175"/>
      <c r="J24" s="65"/>
      <c r="K24" s="65"/>
      <c r="L24" s="180"/>
      <c r="M24" s="68"/>
      <c r="N24" s="68"/>
      <c r="O24" s="187"/>
      <c r="P24" s="187"/>
      <c r="Q24" s="188"/>
      <c r="R24" s="198"/>
      <c r="S24" s="65"/>
      <c r="T24" s="112"/>
      <c r="U24" s="113"/>
      <c r="V24" s="47"/>
      <c r="W24" s="44"/>
      <c r="Y24" s="2"/>
    </row>
    <row r="25" spans="1:25" ht="16.5" thickBot="1">
      <c r="A25" s="135"/>
      <c r="B25" s="136" t="s">
        <v>22</v>
      </c>
      <c r="C25" s="104">
        <f>+'2005 Svcs Formula '!K25</f>
        <v>0.08415218769115483</v>
      </c>
      <c r="D25" s="203">
        <v>1870352</v>
      </c>
      <c r="E25" s="47">
        <f>ROUND($E$9*$C25,0)</f>
        <v>371</v>
      </c>
      <c r="F25" s="208">
        <f>SUM(D25:E25)</f>
        <v>1870723</v>
      </c>
      <c r="G25" s="137">
        <v>1795335</v>
      </c>
      <c r="H25" s="111">
        <f>ROUND($H$9*$C25,0)</f>
        <v>9248</v>
      </c>
      <c r="I25" s="176">
        <f>SUM(G25:H25)</f>
        <v>1804583</v>
      </c>
      <c r="J25" s="138">
        <v>946241</v>
      </c>
      <c r="K25" s="47">
        <f>ROUND($K$9*$C25,0)</f>
        <v>18444</v>
      </c>
      <c r="L25" s="176">
        <f>SUM(J25:K25)</f>
        <v>964685</v>
      </c>
      <c r="M25" s="139">
        <v>711043</v>
      </c>
      <c r="N25" s="111">
        <f>ROUND($N$9*$C25,0)</f>
        <v>30147</v>
      </c>
      <c r="O25" s="176">
        <f>SUM(M25:N25)</f>
        <v>741190</v>
      </c>
      <c r="P25" s="186">
        <f>'2005 Admin Formula'!L25</f>
        <v>590248.67</v>
      </c>
      <c r="Q25" s="174">
        <f>'2005 Admin Formula'!M25</f>
        <v>27809</v>
      </c>
      <c r="R25" s="197">
        <f>+F25+I25+L25+O25+P25+Q25</f>
        <v>5999238.67</v>
      </c>
      <c r="S25" s="133">
        <v>5957737</v>
      </c>
      <c r="T25" s="140"/>
      <c r="U25" s="141">
        <f>R25-S25</f>
        <v>41501.669999999925</v>
      </c>
      <c r="V25" s="48">
        <f>SUM(U25/S25)</f>
        <v>0.0069660124305587715</v>
      </c>
      <c r="W25" s="44">
        <f>+F25+I25+L25+O25</f>
        <v>5381181</v>
      </c>
      <c r="Y25" s="2"/>
    </row>
    <row r="26" spans="1:25" ht="15.75">
      <c r="A26" s="69"/>
      <c r="B26" s="100"/>
      <c r="C26" s="125"/>
      <c r="D26" s="126"/>
      <c r="E26" s="67"/>
      <c r="F26" s="209"/>
      <c r="G26" s="142"/>
      <c r="H26" s="142"/>
      <c r="I26" s="177"/>
      <c r="J26" s="129"/>
      <c r="K26" s="129"/>
      <c r="L26" s="181"/>
      <c r="M26" s="143"/>
      <c r="N26" s="143"/>
      <c r="O26" s="189"/>
      <c r="P26" s="189"/>
      <c r="Q26" s="190"/>
      <c r="R26" s="199"/>
      <c r="S26" s="129"/>
      <c r="T26" s="128"/>
      <c r="U26" s="130"/>
      <c r="V26" s="67"/>
      <c r="W26" s="44"/>
      <c r="Y26" s="2"/>
    </row>
    <row r="27" spans="1:25" ht="16.5" thickBot="1">
      <c r="A27" s="94"/>
      <c r="B27" s="102" t="s">
        <v>24</v>
      </c>
      <c r="C27" s="131">
        <f>+'2005 Svcs Formula '!K27</f>
        <v>0.0845052671716025</v>
      </c>
      <c r="D27" s="132">
        <v>1920416</v>
      </c>
      <c r="E27" s="49">
        <f>ROUND($E$9*$C27,0)</f>
        <v>372</v>
      </c>
      <c r="F27" s="206">
        <f>SUM(D27:E27)</f>
        <v>1920788</v>
      </c>
      <c r="G27" s="96">
        <v>1843391</v>
      </c>
      <c r="H27" s="64">
        <f>ROUND($H$9*$C27,0)</f>
        <v>9287</v>
      </c>
      <c r="I27" s="174">
        <f>SUM(G27:H27)</f>
        <v>1852678</v>
      </c>
      <c r="J27" s="97">
        <v>971569</v>
      </c>
      <c r="K27" s="49">
        <f>ROUND($K$9*$C27,0)</f>
        <v>18522</v>
      </c>
      <c r="L27" s="174">
        <f>SUM(J27:K27)</f>
        <v>990091</v>
      </c>
      <c r="M27" s="98">
        <v>730076</v>
      </c>
      <c r="N27" s="64">
        <f>ROUND($N$9*$C27,0)</f>
        <v>30274</v>
      </c>
      <c r="O27" s="174">
        <f>SUM(M27:N27)</f>
        <v>760350</v>
      </c>
      <c r="P27" s="186">
        <f>'2005 Admin Formula'!L27</f>
        <v>680260.49</v>
      </c>
      <c r="Q27" s="174">
        <f>'2005 Admin Formula'!M27</f>
        <v>32049</v>
      </c>
      <c r="R27" s="197">
        <f>+F27+I27+L27+O27+P27+Q27</f>
        <v>6236216.49</v>
      </c>
      <c r="S27" s="133">
        <v>6193919</v>
      </c>
      <c r="T27" s="99"/>
      <c r="U27" s="43">
        <f>R27-S27</f>
        <v>42297.49000000022</v>
      </c>
      <c r="V27" s="134">
        <f>SUM(U27/S27)</f>
        <v>0.006828873609745336</v>
      </c>
      <c r="W27" s="44">
        <f>+F27+I27+L27+O27</f>
        <v>5523907</v>
      </c>
      <c r="Y27" s="2"/>
    </row>
    <row r="28" spans="1:25" ht="15.75">
      <c r="A28" s="109"/>
      <c r="B28" s="110"/>
      <c r="C28" s="105"/>
      <c r="D28" s="202"/>
      <c r="E28" s="47"/>
      <c r="F28" s="207"/>
      <c r="G28" s="62"/>
      <c r="H28" s="62"/>
      <c r="I28" s="175"/>
      <c r="J28" s="65"/>
      <c r="K28" s="65"/>
      <c r="L28" s="180"/>
      <c r="M28" s="68"/>
      <c r="N28" s="68"/>
      <c r="O28" s="187"/>
      <c r="P28" s="187"/>
      <c r="Q28" s="188"/>
      <c r="R28" s="198"/>
      <c r="S28" s="65"/>
      <c r="T28" s="112"/>
      <c r="U28" s="113"/>
      <c r="V28" s="47"/>
      <c r="W28" s="44"/>
      <c r="Y28" s="2"/>
    </row>
    <row r="29" spans="1:25" ht="16.5" thickBot="1">
      <c r="A29" s="135"/>
      <c r="B29" s="136" t="s">
        <v>25</v>
      </c>
      <c r="C29" s="104">
        <f>+'2005 Svcs Formula '!K29</f>
        <v>0.10366778900187709</v>
      </c>
      <c r="D29" s="203">
        <v>2307198</v>
      </c>
      <c r="E29" s="47">
        <f>ROUND($E$9*$C29,0)</f>
        <v>457</v>
      </c>
      <c r="F29" s="208">
        <f>SUM(D29:E29)</f>
        <v>2307655</v>
      </c>
      <c r="G29" s="137">
        <v>2214659</v>
      </c>
      <c r="H29" s="111">
        <f>ROUND($H$9*$C29,0)</f>
        <v>11392</v>
      </c>
      <c r="I29" s="176">
        <f>SUM(G29:H29)</f>
        <v>2226051</v>
      </c>
      <c r="J29" s="138">
        <v>1167247</v>
      </c>
      <c r="K29" s="47">
        <f>ROUND($K$9*$C29,0)</f>
        <v>22721</v>
      </c>
      <c r="L29" s="176">
        <f>SUM(J29:K29)</f>
        <v>1189968</v>
      </c>
      <c r="M29" s="139">
        <v>877117</v>
      </c>
      <c r="N29" s="111">
        <f>ROUND($N$9*$C29,0)</f>
        <v>37139</v>
      </c>
      <c r="O29" s="176">
        <f>SUM(M29:N29)</f>
        <v>914256</v>
      </c>
      <c r="P29" s="186">
        <f>'2005 Admin Formula'!L29</f>
        <v>744465.1000000001</v>
      </c>
      <c r="Q29" s="174">
        <f>'2005 Admin Formula'!M29</f>
        <v>35074</v>
      </c>
      <c r="R29" s="197">
        <f>+F29+I29+L29+O29+P29+Q29</f>
        <v>7417469.1</v>
      </c>
      <c r="S29" s="133">
        <v>7366254</v>
      </c>
      <c r="T29" s="140"/>
      <c r="U29" s="141">
        <f>R29-S29</f>
        <v>51215.09999999963</v>
      </c>
      <c r="V29" s="48">
        <f>SUM(U29/S29)</f>
        <v>0.006952665493207216</v>
      </c>
      <c r="W29" s="44">
        <f>+F29+I29+L29+O29</f>
        <v>6637930</v>
      </c>
      <c r="Y29" s="2"/>
    </row>
    <row r="30" spans="1:25" ht="15.75">
      <c r="A30" s="69"/>
      <c r="B30" s="100"/>
      <c r="C30" s="125"/>
      <c r="D30" s="126"/>
      <c r="E30" s="67"/>
      <c r="F30" s="209"/>
      <c r="G30" s="142"/>
      <c r="H30" s="142"/>
      <c r="I30" s="177"/>
      <c r="J30" s="129"/>
      <c r="K30" s="129"/>
      <c r="L30" s="181"/>
      <c r="M30" s="143"/>
      <c r="N30" s="143"/>
      <c r="O30" s="189"/>
      <c r="P30" s="189"/>
      <c r="Q30" s="190"/>
      <c r="R30" s="199"/>
      <c r="S30" s="129"/>
      <c r="T30" s="128"/>
      <c r="U30" s="130"/>
      <c r="V30" s="67"/>
      <c r="W30" s="44"/>
      <c r="Y30" s="2"/>
    </row>
    <row r="31" spans="1:25" ht="16.5" thickBot="1">
      <c r="A31" s="94"/>
      <c r="B31" s="102" t="s">
        <v>9</v>
      </c>
      <c r="C31" s="131">
        <f>+'2005 Svcs Formula '!K31</f>
        <v>0.09416890989292143</v>
      </c>
      <c r="D31" s="132">
        <v>1906064</v>
      </c>
      <c r="E31" s="49">
        <f>ROUND($E$9*$C31,0)</f>
        <v>415</v>
      </c>
      <c r="F31" s="206">
        <f>SUM(D31:E31)</f>
        <v>1906479</v>
      </c>
      <c r="G31" s="96">
        <v>1829614</v>
      </c>
      <c r="H31" s="64">
        <f>ROUND($H$9*$C31,0)</f>
        <v>10349</v>
      </c>
      <c r="I31" s="174">
        <f>SUM(G31:H31)</f>
        <v>1839963</v>
      </c>
      <c r="J31" s="97">
        <v>964307</v>
      </c>
      <c r="K31" s="49">
        <f>ROUND($K$9*$C31,0)</f>
        <v>20640</v>
      </c>
      <c r="L31" s="174">
        <f>SUM(J31:K31)</f>
        <v>984947</v>
      </c>
      <c r="M31" s="98">
        <v>724619</v>
      </c>
      <c r="N31" s="64">
        <f>ROUND($N$9*$C31,0)</f>
        <v>33736</v>
      </c>
      <c r="O31" s="174">
        <f>SUM(M31:N31)</f>
        <v>758355</v>
      </c>
      <c r="P31" s="186">
        <f>'2005 Admin Formula'!L31</f>
        <v>604426.0800000001</v>
      </c>
      <c r="Q31" s="174">
        <f>'2005 Admin Formula'!M31</f>
        <v>28476</v>
      </c>
      <c r="R31" s="197">
        <f>+F31+I31+L31+O31+P31+Q31</f>
        <v>6122646.08</v>
      </c>
      <c r="S31" s="133">
        <v>6076396</v>
      </c>
      <c r="T31" s="99"/>
      <c r="U31" s="43">
        <f>R31-S31</f>
        <v>46250.080000000075</v>
      </c>
      <c r="V31" s="134">
        <f>SUM(U31/S31)</f>
        <v>0.007611432829591764</v>
      </c>
      <c r="W31" s="44">
        <f>+F31+I31+L31+O31</f>
        <v>5489744</v>
      </c>
      <c r="Y31" s="2"/>
    </row>
    <row r="32" spans="1:25" ht="15.75">
      <c r="A32" s="69"/>
      <c r="B32" s="100"/>
      <c r="C32" s="125"/>
      <c r="D32" s="126"/>
      <c r="E32" s="47"/>
      <c r="F32" s="209"/>
      <c r="G32" s="142"/>
      <c r="H32" s="142"/>
      <c r="I32" s="177"/>
      <c r="J32" s="129"/>
      <c r="K32" s="129"/>
      <c r="L32" s="181"/>
      <c r="M32" s="143"/>
      <c r="N32" s="143"/>
      <c r="O32" s="189"/>
      <c r="P32" s="189"/>
      <c r="Q32" s="190"/>
      <c r="R32" s="199"/>
      <c r="S32" s="129"/>
      <c r="T32" s="128"/>
      <c r="U32" s="130"/>
      <c r="V32" s="67"/>
      <c r="W32" s="44"/>
      <c r="Y32" s="2"/>
    </row>
    <row r="33" spans="1:25" ht="16.5" thickBot="1">
      <c r="A33" s="94"/>
      <c r="B33" s="102" t="s">
        <v>10</v>
      </c>
      <c r="C33" s="131">
        <f>+'2005 Svcs Formula '!K33</f>
        <v>0.2103651767271664</v>
      </c>
      <c r="D33" s="132">
        <v>4401312</v>
      </c>
      <c r="E33" s="49">
        <f>ROUND($E$9*$C33,0)</f>
        <v>927</v>
      </c>
      <c r="F33" s="206">
        <f>SUM(D33:E33)</f>
        <v>4402239</v>
      </c>
      <c r="G33" s="96">
        <f>4224784-1</f>
        <v>4224783</v>
      </c>
      <c r="H33" s="64">
        <f>ROUND($H$9*$C33,0)</f>
        <v>23118</v>
      </c>
      <c r="I33" s="174">
        <f>SUM(G33:H33)</f>
        <v>4247901</v>
      </c>
      <c r="J33" s="97">
        <f>2226692-1</f>
        <v>2226691</v>
      </c>
      <c r="K33" s="49">
        <f>ROUND($K$9*$C33,0)+1</f>
        <v>46108</v>
      </c>
      <c r="L33" s="174">
        <f>SUM(J33:K33)</f>
        <v>2272799</v>
      </c>
      <c r="M33" s="98">
        <f>1673226-1</f>
        <v>1673225</v>
      </c>
      <c r="N33" s="64">
        <f>ROUND($N$9*$C33,0)</f>
        <v>75363</v>
      </c>
      <c r="O33" s="174">
        <f>SUM(M33:N33)</f>
        <v>1748588</v>
      </c>
      <c r="P33" s="186">
        <f>'2005 Admin Formula'!L33</f>
        <v>1136064.8900000001</v>
      </c>
      <c r="Q33" s="174">
        <f>'2005 Admin Formula'!M33</f>
        <v>53524</v>
      </c>
      <c r="R33" s="197">
        <f>+F33+I33+L33+O33+P33+Q33</f>
        <v>13861115.89</v>
      </c>
      <c r="S33" s="133">
        <v>13759950</v>
      </c>
      <c r="T33" s="99"/>
      <c r="U33" s="43">
        <f>R33-S33</f>
        <v>101165.8900000006</v>
      </c>
      <c r="V33" s="134">
        <f>SUM(U33/S33)</f>
        <v>0.007352198954211359</v>
      </c>
      <c r="W33" s="44">
        <f>+F33+I33+L33+O33</f>
        <v>12671527</v>
      </c>
      <c r="Y33" s="2"/>
    </row>
    <row r="34" spans="1:25" ht="15.75">
      <c r="A34" s="109"/>
      <c r="B34" s="110"/>
      <c r="C34" s="106"/>
      <c r="D34" s="124"/>
      <c r="E34" s="62"/>
      <c r="F34" s="175"/>
      <c r="G34" s="62"/>
      <c r="H34" s="62"/>
      <c r="I34" s="175"/>
      <c r="J34" s="65"/>
      <c r="K34" s="65"/>
      <c r="L34" s="180"/>
      <c r="M34" s="68"/>
      <c r="N34" s="68"/>
      <c r="O34" s="187"/>
      <c r="P34" s="187"/>
      <c r="Q34" s="188"/>
      <c r="R34" s="198"/>
      <c r="S34" s="65"/>
      <c r="T34" s="112"/>
      <c r="U34" s="113"/>
      <c r="V34" s="47"/>
      <c r="W34" s="44"/>
      <c r="Y34" s="2"/>
    </row>
    <row r="35" spans="1:26" ht="15.75">
      <c r="A35" s="75"/>
      <c r="B35" s="101" t="s">
        <v>76</v>
      </c>
      <c r="C35" s="107">
        <f aca="true" t="shared" si="0" ref="C35:S35">SUM(C13:C33)</f>
        <v>1</v>
      </c>
      <c r="D35" s="44">
        <f t="shared" si="0"/>
        <v>22515241</v>
      </c>
      <c r="E35" s="19">
        <f t="shared" si="0"/>
        <v>4407</v>
      </c>
      <c r="F35" s="178">
        <f t="shared" si="0"/>
        <v>22519648</v>
      </c>
      <c r="G35" s="19">
        <f t="shared" si="0"/>
        <v>21612186</v>
      </c>
      <c r="H35" s="19">
        <f t="shared" si="0"/>
        <v>109894</v>
      </c>
      <c r="I35" s="178">
        <f t="shared" si="0"/>
        <v>21722080</v>
      </c>
      <c r="J35" s="22">
        <f t="shared" si="0"/>
        <v>11390812</v>
      </c>
      <c r="K35" s="19">
        <f t="shared" si="0"/>
        <v>219177</v>
      </c>
      <c r="L35" s="182">
        <f t="shared" si="0"/>
        <v>11609989</v>
      </c>
      <c r="M35" s="29">
        <f t="shared" si="0"/>
        <v>8559515</v>
      </c>
      <c r="N35" s="22">
        <f t="shared" si="0"/>
        <v>358250</v>
      </c>
      <c r="O35" s="191">
        <f t="shared" si="0"/>
        <v>8917765</v>
      </c>
      <c r="P35" s="191">
        <f>SUM(P13:P33)+1</f>
        <v>7365183.290000001</v>
      </c>
      <c r="Q35" s="192">
        <f t="shared" si="0"/>
        <v>346998</v>
      </c>
      <c r="R35" s="200">
        <f>SUM(R13:R33)+1</f>
        <v>72481663.28999999</v>
      </c>
      <c r="S35" s="22">
        <f t="shared" si="0"/>
        <v>71990629</v>
      </c>
      <c r="T35" s="3"/>
      <c r="U35" s="42">
        <f>SUM(U13:U33)</f>
        <v>491033.29000000097</v>
      </c>
      <c r="V35" s="48">
        <f>SUM(U35/S35)</f>
        <v>0.006820794550913022</v>
      </c>
      <c r="W35" s="45">
        <f>SUM(W13:W33)</f>
        <v>64769482</v>
      </c>
      <c r="X35" s="3"/>
      <c r="Y35" s="2"/>
      <c r="Z35" s="3"/>
    </row>
    <row r="36" spans="1:25" ht="16.5" thickBot="1">
      <c r="A36" s="94"/>
      <c r="B36" s="102"/>
      <c r="C36" s="108"/>
      <c r="D36" s="103"/>
      <c r="E36" s="20"/>
      <c r="F36" s="179"/>
      <c r="G36" s="20"/>
      <c r="H36" s="20"/>
      <c r="I36" s="179"/>
      <c r="J36" s="23"/>
      <c r="K36" s="23"/>
      <c r="L36" s="183"/>
      <c r="M36" s="32"/>
      <c r="N36" s="32"/>
      <c r="O36" s="193"/>
      <c r="P36" s="193"/>
      <c r="Q36" s="194"/>
      <c r="R36" s="201"/>
      <c r="S36" s="23"/>
      <c r="T36" s="31"/>
      <c r="U36" s="43"/>
      <c r="V36" s="49"/>
      <c r="W36" s="35"/>
      <c r="Y36" s="2"/>
    </row>
    <row r="37" spans="4:25" ht="15">
      <c r="D37" s="3"/>
      <c r="E37" s="3"/>
      <c r="F37" s="3"/>
      <c r="Q37" s="3"/>
      <c r="U37" s="38"/>
      <c r="V37" s="38"/>
      <c r="Y37" s="2"/>
    </row>
    <row r="38" spans="1:17" ht="15">
      <c r="A38" t="s">
        <v>95</v>
      </c>
      <c r="D38" s="3"/>
      <c r="E38" s="3"/>
      <c r="F38" s="3"/>
      <c r="Q38" s="3"/>
    </row>
    <row r="39" spans="1:6" ht="15">
      <c r="A39" t="s">
        <v>114</v>
      </c>
      <c r="D39" s="3"/>
      <c r="E39" s="3"/>
      <c r="F39" s="3"/>
    </row>
    <row r="40" spans="1:18" ht="15">
      <c r="A40" s="57"/>
      <c r="D40" s="3"/>
      <c r="E40" s="3"/>
      <c r="F40" s="3"/>
      <c r="R40" s="7"/>
    </row>
    <row r="42" spans="4:18" ht="15">
      <c r="D42" s="3"/>
      <c r="E42" s="3"/>
      <c r="F42" s="3"/>
      <c r="R42" s="51"/>
    </row>
    <row r="43" ht="15">
      <c r="R43" s="7"/>
    </row>
    <row r="46" ht="15">
      <c r="G46" t="s">
        <v>2</v>
      </c>
    </row>
    <row r="61" spans="3:16" ht="15">
      <c r="C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ht="15">
      <c r="C62" s="3"/>
    </row>
    <row r="63" spans="3:16" ht="15">
      <c r="C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ht="15">
      <c r="C64" s="3"/>
    </row>
    <row r="65" spans="3:16" ht="15">
      <c r="C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ht="15">
      <c r="C66" s="3"/>
    </row>
    <row r="67" spans="3:16" ht="15">
      <c r="C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ht="15">
      <c r="C68" s="3"/>
    </row>
    <row r="69" spans="3:16" ht="15">
      <c r="C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ht="15">
      <c r="C70" s="3"/>
    </row>
    <row r="71" spans="3:16" ht="15">
      <c r="C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ht="15">
      <c r="C72" s="3"/>
    </row>
    <row r="73" spans="3:16" ht="15">
      <c r="C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ht="15">
      <c r="C74" s="3"/>
    </row>
    <row r="75" spans="3:16" ht="15">
      <c r="C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ht="15">
      <c r="C76" s="3"/>
    </row>
    <row r="77" spans="3:16" ht="15">
      <c r="C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ht="15">
      <c r="C78" s="3"/>
    </row>
    <row r="79" spans="3:16" ht="15">
      <c r="C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ht="15">
      <c r="C80" s="3"/>
    </row>
    <row r="81" spans="3:16" ht="15">
      <c r="C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9" ht="15">
      <c r="C82" s="3"/>
      <c r="G82" s="3"/>
      <c r="H82" s="3"/>
      <c r="I82" s="3"/>
    </row>
    <row r="83" spans="3:16" ht="15">
      <c r="C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104" spans="7:9" ht="15">
      <c r="G104" s="3"/>
      <c r="H104" s="3"/>
      <c r="I104" s="3"/>
    </row>
    <row r="106" spans="7:9" ht="15">
      <c r="G106" s="3"/>
      <c r="H106" s="3"/>
      <c r="I106" s="3"/>
    </row>
    <row r="107" spans="7:9" ht="15">
      <c r="G107" s="3"/>
      <c r="H107" s="3"/>
      <c r="I107" s="3"/>
    </row>
    <row r="108" spans="7:9" ht="15">
      <c r="G108" s="3"/>
      <c r="H108" s="3"/>
      <c r="I108" s="3"/>
    </row>
    <row r="109" spans="4:9" ht="15">
      <c r="D109" s="3"/>
      <c r="E109" s="3"/>
      <c r="F109" s="3"/>
      <c r="G109" s="3"/>
      <c r="H109" s="3"/>
      <c r="I109" s="3"/>
    </row>
    <row r="110" spans="4:9" ht="15">
      <c r="D110" s="3"/>
      <c r="E110" s="3"/>
      <c r="F110" s="3"/>
      <c r="G110" s="3"/>
      <c r="H110" s="3"/>
      <c r="I110" s="3"/>
    </row>
    <row r="111" spans="4:9" ht="15">
      <c r="D111" s="3"/>
      <c r="E111" s="3"/>
      <c r="F111" s="3"/>
      <c r="G111" s="3"/>
      <c r="H111" s="3"/>
      <c r="I111" s="3"/>
    </row>
    <row r="112" spans="4:9" ht="15">
      <c r="D112" s="3"/>
      <c r="E112" s="3"/>
      <c r="F112" s="3"/>
      <c r="G112" s="3"/>
      <c r="H112" s="3"/>
      <c r="I112" s="3"/>
    </row>
    <row r="113" spans="3:25" ht="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R113" s="3"/>
      <c r="S113" s="3"/>
      <c r="W113" s="5"/>
      <c r="Y113" s="5"/>
    </row>
    <row r="114" spans="4:23" ht="15">
      <c r="D114" s="3"/>
      <c r="E114" s="3"/>
      <c r="F114" s="3"/>
      <c r="G114" s="3"/>
      <c r="H114" s="3"/>
      <c r="I114" s="3"/>
      <c r="P114" s="3"/>
      <c r="W114" s="5"/>
    </row>
    <row r="115" spans="3:25" ht="1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R115" s="3"/>
      <c r="S115" s="3"/>
      <c r="W115" s="5"/>
      <c r="Y115" s="5"/>
    </row>
    <row r="116" spans="4:23" ht="15">
      <c r="D116" s="3"/>
      <c r="E116" s="3"/>
      <c r="F116" s="3"/>
      <c r="G116" s="3"/>
      <c r="H116" s="3"/>
      <c r="I116" s="3"/>
      <c r="P116" s="3"/>
      <c r="W116" s="5"/>
    </row>
    <row r="117" spans="3:25" ht="1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R117" s="3"/>
      <c r="S117" s="3"/>
      <c r="W117" s="5"/>
      <c r="Y117" s="5"/>
    </row>
    <row r="118" spans="4:23" ht="15">
      <c r="D118" s="3"/>
      <c r="E118" s="3"/>
      <c r="F118" s="3"/>
      <c r="G118" s="3"/>
      <c r="H118" s="3"/>
      <c r="I118" s="3"/>
      <c r="P118" s="3"/>
      <c r="W118" s="5"/>
    </row>
    <row r="119" spans="3:25" ht="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R119" s="3"/>
      <c r="S119" s="3"/>
      <c r="W119" s="5"/>
      <c r="Y119" s="5"/>
    </row>
    <row r="120" spans="4:16" ht="15">
      <c r="D120" s="3"/>
      <c r="E120" s="3"/>
      <c r="F120" s="3"/>
      <c r="G120" s="3"/>
      <c r="H120" s="3"/>
      <c r="I120" s="3"/>
      <c r="P120" s="3"/>
    </row>
    <row r="121" spans="3:25" ht="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R121" s="3"/>
      <c r="S121" s="3"/>
      <c r="W121" s="5"/>
      <c r="Y121" s="5"/>
    </row>
    <row r="122" spans="4:23" ht="15">
      <c r="D122" s="3"/>
      <c r="E122" s="3"/>
      <c r="F122" s="3"/>
      <c r="G122" s="3"/>
      <c r="H122" s="3"/>
      <c r="I122" s="3"/>
      <c r="P122" s="3"/>
      <c r="W122" s="5"/>
    </row>
    <row r="123" spans="3:25" ht="1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R123" s="3"/>
      <c r="S123" s="3"/>
      <c r="W123" s="5"/>
      <c r="Y123" s="5"/>
    </row>
    <row r="124" spans="4:23" ht="15">
      <c r="D124" s="3"/>
      <c r="E124" s="3"/>
      <c r="F124" s="3"/>
      <c r="G124" s="3"/>
      <c r="H124" s="3"/>
      <c r="I124" s="3"/>
      <c r="P124" s="3"/>
      <c r="W124" s="5"/>
    </row>
    <row r="125" spans="3:25" ht="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R125" s="3"/>
      <c r="S125" s="3"/>
      <c r="W125" s="5"/>
      <c r="Y125" s="5"/>
    </row>
    <row r="126" spans="4:23" ht="15">
      <c r="D126" s="3"/>
      <c r="E126" s="3"/>
      <c r="F126" s="3"/>
      <c r="G126" s="3"/>
      <c r="H126" s="3"/>
      <c r="I126" s="3"/>
      <c r="P126" s="3"/>
      <c r="W126" s="5"/>
    </row>
    <row r="127" spans="3:25" ht="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R127" s="3"/>
      <c r="S127" s="3"/>
      <c r="W127" s="5"/>
      <c r="Y127" s="5"/>
    </row>
    <row r="128" spans="4:16" ht="15">
      <c r="D128" s="3"/>
      <c r="E128" s="3"/>
      <c r="F128" s="3"/>
      <c r="G128" s="3"/>
      <c r="H128" s="3"/>
      <c r="I128" s="3"/>
      <c r="P128" s="3"/>
    </row>
    <row r="129" spans="3:25" ht="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R129" s="3"/>
      <c r="S129" s="3"/>
      <c r="W129" s="5"/>
      <c r="Y129" s="5"/>
    </row>
    <row r="130" spans="4:23" ht="15">
      <c r="D130" s="3"/>
      <c r="E130" s="3"/>
      <c r="F130" s="3"/>
      <c r="G130" s="3"/>
      <c r="H130" s="3"/>
      <c r="I130" s="3"/>
      <c r="P130" s="3"/>
      <c r="W130" s="5"/>
    </row>
    <row r="131" spans="3:25" ht="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R131" s="3"/>
      <c r="S131" s="3"/>
      <c r="W131" s="5"/>
      <c r="Y131" s="5"/>
    </row>
    <row r="132" spans="4:23" ht="15">
      <c r="D132" s="3"/>
      <c r="E132" s="3"/>
      <c r="F132" s="3"/>
      <c r="G132" s="3"/>
      <c r="H132" s="3"/>
      <c r="I132" s="3"/>
      <c r="P132" s="3"/>
      <c r="W132" s="5"/>
    </row>
    <row r="133" spans="3:25" ht="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R133" s="3"/>
      <c r="S133" s="3"/>
      <c r="W133" s="5"/>
      <c r="Y133" s="5"/>
    </row>
    <row r="134" spans="4:23" ht="15">
      <c r="D134" s="3"/>
      <c r="E134" s="3"/>
      <c r="F134" s="3"/>
      <c r="G134" s="3"/>
      <c r="H134" s="3"/>
      <c r="I134" s="3"/>
      <c r="P134" s="3"/>
      <c r="W134" s="5"/>
    </row>
    <row r="135" spans="3:25" ht="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R135" s="3"/>
      <c r="S135" s="3"/>
      <c r="W135" s="5"/>
      <c r="Y135" s="5"/>
    </row>
    <row r="136" ht="15">
      <c r="P136" s="3"/>
    </row>
    <row r="140" ht="15">
      <c r="Y140" t="s">
        <v>23</v>
      </c>
    </row>
    <row r="142" ht="15">
      <c r="C142" s="3"/>
    </row>
    <row r="165" spans="3:9" ht="15">
      <c r="C165" s="5"/>
      <c r="G165" s="3"/>
      <c r="H165" s="3"/>
      <c r="I165" s="3"/>
    </row>
    <row r="166" spans="3:9" ht="15">
      <c r="C166" s="3"/>
      <c r="G166" s="3"/>
      <c r="H166" s="3"/>
      <c r="I166" s="3"/>
    </row>
    <row r="167" spans="3:9" ht="15">
      <c r="C167" s="5"/>
      <c r="G167" s="3"/>
      <c r="H167" s="3"/>
      <c r="I167" s="3"/>
    </row>
    <row r="168" spans="3:9" ht="15">
      <c r="C168" s="3"/>
      <c r="G168" s="3"/>
      <c r="H168" s="3"/>
      <c r="I168" s="3"/>
    </row>
    <row r="169" spans="3:9" ht="15">
      <c r="C169" s="5"/>
      <c r="G169" s="3"/>
      <c r="H169" s="3"/>
      <c r="I169" s="3"/>
    </row>
    <row r="170" spans="3:9" ht="15">
      <c r="C170" s="3"/>
      <c r="G170" s="3"/>
      <c r="H170" s="3"/>
      <c r="I170" s="3"/>
    </row>
    <row r="171" spans="3:9" ht="15">
      <c r="C171" s="5"/>
      <c r="G171" s="3"/>
      <c r="H171" s="3"/>
      <c r="I171" s="3"/>
    </row>
    <row r="172" spans="3:9" ht="15">
      <c r="C172" s="3"/>
      <c r="G172" s="3"/>
      <c r="H172" s="3"/>
      <c r="I172" s="3"/>
    </row>
    <row r="173" spans="3:9" ht="15">
      <c r="C173" s="5"/>
      <c r="G173" s="3"/>
      <c r="H173" s="3"/>
      <c r="I173" s="3"/>
    </row>
    <row r="174" spans="3:9" ht="15">
      <c r="C174" s="3"/>
      <c r="G174" s="3"/>
      <c r="H174" s="3"/>
      <c r="I174" s="3"/>
    </row>
    <row r="175" spans="3:9" ht="15">
      <c r="C175" s="5"/>
      <c r="G175" s="3"/>
      <c r="H175" s="3"/>
      <c r="I175" s="3"/>
    </row>
    <row r="176" spans="3:9" ht="15">
      <c r="C176" s="3"/>
      <c r="G176" s="3"/>
      <c r="H176" s="3"/>
      <c r="I176" s="3"/>
    </row>
    <row r="177" spans="3:9" ht="15">
      <c r="C177" s="5"/>
      <c r="G177" s="3"/>
      <c r="H177" s="3"/>
      <c r="I177" s="3"/>
    </row>
    <row r="178" spans="3:9" ht="15">
      <c r="C178" s="3"/>
      <c r="G178" s="3"/>
      <c r="H178" s="3"/>
      <c r="I178" s="3"/>
    </row>
    <row r="179" spans="3:9" ht="15">
      <c r="C179" s="5"/>
      <c r="G179" s="3"/>
      <c r="H179" s="3"/>
      <c r="I179" s="3"/>
    </row>
    <row r="180" spans="3:9" ht="15">
      <c r="C180" s="3"/>
      <c r="G180" s="3"/>
      <c r="H180" s="3"/>
      <c r="I180" s="3"/>
    </row>
    <row r="181" spans="3:9" ht="15">
      <c r="C181" s="5"/>
      <c r="G181" s="3"/>
      <c r="H181" s="3"/>
      <c r="I181" s="3"/>
    </row>
    <row r="182" spans="3:9" ht="15">
      <c r="C182" s="3"/>
      <c r="G182" s="3"/>
      <c r="H182" s="3"/>
      <c r="I182" s="3"/>
    </row>
    <row r="183" spans="3:9" ht="15">
      <c r="C183" s="5"/>
      <c r="G183" s="3"/>
      <c r="H183" s="3"/>
      <c r="I183" s="3"/>
    </row>
    <row r="184" spans="3:9" ht="15">
      <c r="C184" s="3"/>
      <c r="G184" s="3"/>
      <c r="H184" s="3"/>
      <c r="I184" s="3"/>
    </row>
    <row r="185" spans="3:9" ht="15">
      <c r="C185" s="5"/>
      <c r="G185" s="3"/>
      <c r="H185" s="3"/>
      <c r="I185" s="3"/>
    </row>
    <row r="186" spans="3:9" ht="15">
      <c r="C186" s="3"/>
      <c r="G186" s="3"/>
      <c r="H186" s="3"/>
      <c r="I186" s="3"/>
    </row>
    <row r="187" spans="3:9" ht="15">
      <c r="C187" s="5"/>
      <c r="G187" s="3"/>
      <c r="H187" s="3"/>
      <c r="I187" s="3"/>
    </row>
  </sheetData>
  <printOptions/>
  <pageMargins left="0.5" right="0" top="0.5" bottom="0.5" header="0.5" footer="0.5"/>
  <pageSetup horizontalDpi="300" verticalDpi="300" orientation="landscape" paperSize="5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90"/>
  <sheetViews>
    <sheetView showGridLines="0" zoomScale="75" zoomScaleNormal="75" workbookViewId="0" topLeftCell="G1">
      <selection activeCell="K1" sqref="K1"/>
    </sheetView>
  </sheetViews>
  <sheetFormatPr defaultColWidth="8.88671875" defaultRowHeight="15"/>
  <cols>
    <col min="1" max="1" width="1.4375" style="0" customWidth="1"/>
    <col min="2" max="2" width="4.5546875" style="0" customWidth="1"/>
    <col min="3" max="3" width="10.77734375" style="0" customWidth="1"/>
    <col min="4" max="4" width="9.21484375" style="0" customWidth="1"/>
    <col min="5" max="5" width="8.77734375" style="0" customWidth="1"/>
    <col min="6" max="6" width="9.21484375" style="0" customWidth="1"/>
    <col min="7" max="7" width="8.77734375" style="0" customWidth="1"/>
    <col min="8" max="8" width="8.4453125" style="0" customWidth="1"/>
    <col min="9" max="9" width="8.77734375" style="0" customWidth="1"/>
    <col min="11" max="11" width="9.21484375" style="0" customWidth="1"/>
    <col min="12" max="12" width="13.99609375" style="0" customWidth="1"/>
    <col min="13" max="13" width="13.77734375" style="0" customWidth="1"/>
    <col min="14" max="14" width="16.10546875" style="0" customWidth="1"/>
    <col min="15" max="15" width="11.99609375" style="0" customWidth="1"/>
    <col min="16" max="16" width="14.4453125" style="0" customWidth="1"/>
    <col min="17" max="17" width="1.4375" style="0" customWidth="1"/>
    <col min="18" max="18" width="10.77734375" style="0" customWidth="1"/>
    <col min="19" max="19" width="1.4375" style="0" customWidth="1"/>
    <col min="20" max="20" width="7.99609375" style="0" customWidth="1"/>
    <col min="21" max="21" width="1.4375" style="0" customWidth="1"/>
    <col min="22" max="22" width="17.77734375" style="0" customWidth="1"/>
    <col min="23" max="23" width="1.4375" style="0" customWidth="1"/>
    <col min="24" max="24" width="17.77734375" style="0" customWidth="1"/>
    <col min="25" max="25" width="1.4375" style="0" customWidth="1"/>
    <col min="26" max="16384" width="7.99609375" style="0" customWidth="1"/>
  </cols>
  <sheetData>
    <row r="2" spans="8:15" ht="18.75">
      <c r="H2" s="8"/>
      <c r="J2" s="50" t="s">
        <v>107</v>
      </c>
      <c r="L2" s="8"/>
      <c r="M2" s="8"/>
      <c r="N2" s="8"/>
      <c r="O2" s="8"/>
    </row>
    <row r="3" spans="7:15" ht="18.75">
      <c r="G3" s="50"/>
      <c r="I3" s="50" t="s">
        <v>108</v>
      </c>
      <c r="J3" s="50"/>
      <c r="K3" s="8"/>
      <c r="L3" s="8"/>
      <c r="M3" s="8"/>
      <c r="N3" s="8"/>
      <c r="O3" s="8"/>
    </row>
    <row r="4" spans="9:10" ht="15.75">
      <c r="I4" s="9"/>
      <c r="J4" s="56" t="s">
        <v>89</v>
      </c>
    </row>
    <row r="5" spans="1:16" ht="15.7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7"/>
      <c r="K5" s="36"/>
      <c r="L5" s="36"/>
      <c r="M5" s="36"/>
      <c r="N5" s="36"/>
      <c r="O5" s="36"/>
      <c r="P5" s="36"/>
    </row>
    <row r="6" spans="1:17" ht="15.75">
      <c r="A6" s="40"/>
      <c r="B6" s="40"/>
      <c r="C6" s="40"/>
      <c r="D6" s="40"/>
      <c r="E6" s="40"/>
      <c r="F6" s="40"/>
      <c r="G6" s="40"/>
      <c r="H6" s="40"/>
      <c r="I6" s="40"/>
      <c r="J6" s="41"/>
      <c r="K6" s="40"/>
      <c r="L6" s="40"/>
      <c r="M6" s="40"/>
      <c r="N6" s="40"/>
      <c r="O6" s="40"/>
      <c r="P6" s="40"/>
      <c r="Q6" s="35"/>
    </row>
    <row r="7" spans="1:17" ht="1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35"/>
    </row>
    <row r="8" spans="1:16" ht="15">
      <c r="A8" s="38"/>
      <c r="B8" s="38"/>
      <c r="C8" s="38" t="s">
        <v>109</v>
      </c>
      <c r="D8" s="38"/>
      <c r="E8" s="38" t="s">
        <v>109</v>
      </c>
      <c r="F8" s="38"/>
      <c r="G8" s="38" t="s">
        <v>109</v>
      </c>
      <c r="H8" s="38"/>
      <c r="I8" s="38" t="s">
        <v>109</v>
      </c>
      <c r="J8" s="38"/>
      <c r="K8" s="38"/>
      <c r="L8" s="39">
        <v>2003</v>
      </c>
      <c r="M8" s="39">
        <v>2003</v>
      </c>
      <c r="N8" s="39">
        <v>2003</v>
      </c>
      <c r="O8" s="39">
        <v>2003</v>
      </c>
      <c r="P8" s="38"/>
    </row>
    <row r="9" spans="3:16" ht="15">
      <c r="C9" t="s">
        <v>4</v>
      </c>
      <c r="E9" t="s">
        <v>19</v>
      </c>
      <c r="G9" s="6" t="s">
        <v>20</v>
      </c>
      <c r="H9" s="6"/>
      <c r="I9" s="6" t="s">
        <v>21</v>
      </c>
      <c r="J9" s="6"/>
      <c r="K9" t="s">
        <v>76</v>
      </c>
      <c r="L9" s="13" t="s">
        <v>74</v>
      </c>
      <c r="M9" s="13" t="s">
        <v>72</v>
      </c>
      <c r="N9" s="13" t="s">
        <v>73</v>
      </c>
      <c r="O9" s="13" t="s">
        <v>75</v>
      </c>
      <c r="P9" s="145" t="s">
        <v>76</v>
      </c>
    </row>
    <row r="10" spans="2:16" ht="15">
      <c r="B10" t="s">
        <v>68</v>
      </c>
      <c r="C10" s="1" t="s">
        <v>3</v>
      </c>
      <c r="E10" s="1" t="s">
        <v>3</v>
      </c>
      <c r="G10" s="6" t="s">
        <v>56</v>
      </c>
      <c r="H10" s="6"/>
      <c r="I10" s="6" t="s">
        <v>39</v>
      </c>
      <c r="J10" s="6"/>
      <c r="K10" t="s">
        <v>48</v>
      </c>
      <c r="L10" s="13" t="s">
        <v>71</v>
      </c>
      <c r="M10" s="13" t="s">
        <v>42</v>
      </c>
      <c r="N10" s="13" t="s">
        <v>52</v>
      </c>
      <c r="O10" s="13" t="s">
        <v>58</v>
      </c>
      <c r="P10" s="145" t="s">
        <v>69</v>
      </c>
    </row>
    <row r="11" spans="3:16" ht="15">
      <c r="C11" t="s">
        <v>62</v>
      </c>
      <c r="D11" t="s">
        <v>47</v>
      </c>
      <c r="E11" t="s">
        <v>62</v>
      </c>
      <c r="F11" t="s">
        <v>47</v>
      </c>
      <c r="G11" s="6" t="s">
        <v>62</v>
      </c>
      <c r="H11" s="6" t="s">
        <v>47</v>
      </c>
      <c r="I11" s="6" t="s">
        <v>62</v>
      </c>
      <c r="J11" s="6" t="s">
        <v>47</v>
      </c>
      <c r="L11" s="13" t="s">
        <v>69</v>
      </c>
      <c r="M11" s="13" t="s">
        <v>55</v>
      </c>
      <c r="N11" s="13" t="s">
        <v>55</v>
      </c>
      <c r="O11" s="13" t="s">
        <v>40</v>
      </c>
      <c r="P11" s="145" t="s">
        <v>91</v>
      </c>
    </row>
    <row r="12" spans="1:16" ht="15.75" thickBo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59" t="s">
        <v>90</v>
      </c>
      <c r="M12" s="59" t="s">
        <v>90</v>
      </c>
      <c r="N12" s="59" t="s">
        <v>90</v>
      </c>
      <c r="O12" s="59" t="s">
        <v>90</v>
      </c>
      <c r="P12" s="36"/>
    </row>
    <row r="13" spans="1:18" ht="15">
      <c r="A13" s="69"/>
      <c r="B13" s="70" t="s">
        <v>8</v>
      </c>
      <c r="C13" s="71">
        <v>120694</v>
      </c>
      <c r="D13" s="72">
        <f>SUM(C13/$C$35*0.35)</f>
        <v>0.010577906164087018</v>
      </c>
      <c r="E13" s="71">
        <v>9631</v>
      </c>
      <c r="F13" s="72">
        <f>SUM(E13/$E$35*0.35)</f>
        <v>0.009442474256837764</v>
      </c>
      <c r="G13" s="71">
        <v>3943</v>
      </c>
      <c r="H13" s="72">
        <f>SUM(G13/$G$35*0.15)</f>
        <v>0.0030093723287336668</v>
      </c>
      <c r="I13" s="71">
        <v>8688</v>
      </c>
      <c r="J13" s="72">
        <f>SUM(I13/$I$35*0.15)</f>
        <v>0.005306945207989738</v>
      </c>
      <c r="K13" s="72">
        <f>J13+D13+F13+H13</f>
        <v>0.02833669795764819</v>
      </c>
      <c r="L13" s="73">
        <v>728288</v>
      </c>
      <c r="M13" s="73">
        <v>699077</v>
      </c>
      <c r="N13" s="63">
        <v>368452</v>
      </c>
      <c r="O13" s="74">
        <v>276870</v>
      </c>
      <c r="P13" s="63">
        <f>SUM(L13:O13)</f>
        <v>2072687</v>
      </c>
      <c r="Q13" s="35"/>
      <c r="R13" s="2"/>
    </row>
    <row r="14" spans="1:18" ht="15">
      <c r="A14" s="75"/>
      <c r="B14" s="76"/>
      <c r="C14" s="77"/>
      <c r="D14" s="78"/>
      <c r="E14" s="77"/>
      <c r="F14" s="78"/>
      <c r="G14" s="77"/>
      <c r="H14" s="77"/>
      <c r="I14" s="77" t="s">
        <v>1</v>
      </c>
      <c r="J14" s="77"/>
      <c r="K14" s="77"/>
      <c r="L14" s="79"/>
      <c r="M14" s="79"/>
      <c r="N14" s="80"/>
      <c r="O14" s="81"/>
      <c r="P14" s="65"/>
      <c r="Q14" s="35"/>
      <c r="R14" s="2"/>
    </row>
    <row r="15" spans="1:18" ht="15">
      <c r="A15" s="75"/>
      <c r="B15" s="76" t="s">
        <v>11</v>
      </c>
      <c r="C15" s="82">
        <v>110215</v>
      </c>
      <c r="D15" s="83">
        <f>SUM(C15/$C$35*0.35)</f>
        <v>0.009659501946035848</v>
      </c>
      <c r="E15" s="82">
        <v>13823</v>
      </c>
      <c r="F15" s="83">
        <f>SUM(E15/$E$35*0.35)</f>
        <v>0.0135524163277197</v>
      </c>
      <c r="G15" s="82">
        <v>6900</v>
      </c>
      <c r="H15" s="83">
        <f>SUM(G15/$G$35*0.15)</f>
        <v>0.005266210770545854</v>
      </c>
      <c r="I15" s="82">
        <v>8966</v>
      </c>
      <c r="J15" s="83">
        <f>SUM(I15/$I$35*0.15)</f>
        <v>0.005476757681265652</v>
      </c>
      <c r="K15" s="83">
        <f>J15+D15+F15+H15</f>
        <v>0.033954886725567054</v>
      </c>
      <c r="L15" s="84">
        <v>839980</v>
      </c>
      <c r="M15" s="84">
        <v>806289</v>
      </c>
      <c r="N15" s="85">
        <v>424959</v>
      </c>
      <c r="O15" s="86">
        <v>319331</v>
      </c>
      <c r="P15" s="85">
        <f>SUM(L15:O15)</f>
        <v>2390559</v>
      </c>
      <c r="Q15" s="35"/>
      <c r="R15" s="2"/>
    </row>
    <row r="16" spans="1:18" ht="15">
      <c r="A16" s="75"/>
      <c r="B16" s="76"/>
      <c r="C16" s="76"/>
      <c r="D16" s="87"/>
      <c r="E16" s="76"/>
      <c r="F16" s="87"/>
      <c r="G16" s="76"/>
      <c r="H16" s="76"/>
      <c r="I16" s="76"/>
      <c r="J16" s="76"/>
      <c r="K16" s="76"/>
      <c r="L16" s="88"/>
      <c r="M16" s="88"/>
      <c r="N16" s="89"/>
      <c r="O16" s="90"/>
      <c r="P16" s="65"/>
      <c r="Q16" s="35"/>
      <c r="R16" s="2"/>
    </row>
    <row r="17" spans="1:18" ht="15">
      <c r="A17" s="75"/>
      <c r="B17" s="76" t="s">
        <v>13</v>
      </c>
      <c r="C17" s="82">
        <v>403740</v>
      </c>
      <c r="D17" s="83">
        <f>SUM(C17/$C$35*0.35)</f>
        <v>0.03538472363736799</v>
      </c>
      <c r="E17" s="82">
        <v>33190</v>
      </c>
      <c r="F17" s="83">
        <f>SUM(E17/$E$35*0.35)</f>
        <v>0.03254030947818974</v>
      </c>
      <c r="G17" s="82">
        <v>9947</v>
      </c>
      <c r="H17" s="83">
        <f>SUM(G17/$G$35*0.15)</f>
        <v>0.007591738918060814</v>
      </c>
      <c r="I17" s="82">
        <v>23401</v>
      </c>
      <c r="J17" s="83">
        <f>SUM(I17/$I$35*0.15)</f>
        <v>0.014294178730682302</v>
      </c>
      <c r="K17" s="83">
        <f>J17+D17+F17+H17</f>
        <v>0.08981095076430085</v>
      </c>
      <c r="L17" s="84">
        <v>2215211</v>
      </c>
      <c r="M17" s="84">
        <v>2126362</v>
      </c>
      <c r="N17" s="85">
        <v>1120710</v>
      </c>
      <c r="O17" s="86">
        <v>842147</v>
      </c>
      <c r="P17" s="85">
        <f>SUM(L17:O17)</f>
        <v>6304430</v>
      </c>
      <c r="Q17" s="35"/>
      <c r="R17" s="2"/>
    </row>
    <row r="18" spans="1:18" ht="15">
      <c r="A18" s="75"/>
      <c r="B18" s="76"/>
      <c r="C18" s="76"/>
      <c r="D18" s="87"/>
      <c r="E18" s="76"/>
      <c r="F18" s="87"/>
      <c r="G18" s="76"/>
      <c r="H18" s="76"/>
      <c r="I18" s="76"/>
      <c r="J18" s="76"/>
      <c r="K18" s="76"/>
      <c r="L18" s="88"/>
      <c r="M18" s="88"/>
      <c r="N18" s="89"/>
      <c r="O18" s="90"/>
      <c r="P18" s="89"/>
      <c r="Q18" s="35"/>
      <c r="R18" s="2"/>
    </row>
    <row r="19" spans="1:18" ht="15">
      <c r="A19" s="75"/>
      <c r="B19" s="76" t="s">
        <v>14</v>
      </c>
      <c r="C19" s="82">
        <v>348795</v>
      </c>
      <c r="D19" s="83">
        <f>SUM(C19/$C$35*0.35)</f>
        <v>0.030569214546727518</v>
      </c>
      <c r="E19" s="82">
        <v>27968</v>
      </c>
      <c r="F19" s="83">
        <f>SUM(E19/$E$35*0.35)</f>
        <v>0.027420529541609243</v>
      </c>
      <c r="G19" s="82">
        <v>12092</v>
      </c>
      <c r="H19" s="83">
        <f>SUM(G19/$G$35*0.15)</f>
        <v>0.009228843570643547</v>
      </c>
      <c r="I19" s="82">
        <v>21920</v>
      </c>
      <c r="J19" s="83">
        <f>SUM(I19/$I$35*0.15)</f>
        <v>0.013389530266935434</v>
      </c>
      <c r="K19" s="83">
        <f>J19+D19+F19+H19</f>
        <v>0.08060811792591574</v>
      </c>
      <c r="L19" s="84">
        <v>1969794</v>
      </c>
      <c r="M19" s="84">
        <v>1890788</v>
      </c>
      <c r="N19" s="85">
        <v>996550</v>
      </c>
      <c r="O19" s="86">
        <v>748848</v>
      </c>
      <c r="P19" s="85">
        <f>SUM(L19:O19)</f>
        <v>5605980</v>
      </c>
      <c r="Q19" s="35"/>
      <c r="R19" s="2"/>
    </row>
    <row r="20" spans="1:18" ht="15">
      <c r="A20" s="75"/>
      <c r="B20" s="76"/>
      <c r="C20" s="76"/>
      <c r="D20" s="87"/>
      <c r="E20" s="76"/>
      <c r="F20" s="87"/>
      <c r="G20" s="76"/>
      <c r="H20" s="76"/>
      <c r="I20" s="76"/>
      <c r="J20" s="76"/>
      <c r="K20" s="76"/>
      <c r="L20" s="88"/>
      <c r="M20" s="88"/>
      <c r="N20" s="89"/>
      <c r="O20" s="90"/>
      <c r="P20" s="89"/>
      <c r="Q20" s="35"/>
      <c r="R20" s="2"/>
    </row>
    <row r="21" spans="1:18" ht="15">
      <c r="A21" s="75"/>
      <c r="B21" s="76" t="s">
        <v>15</v>
      </c>
      <c r="C21" s="82">
        <v>398469</v>
      </c>
      <c r="D21" s="83">
        <f>SUM(C21/$C$35*0.35)</f>
        <v>0.034922760794220006</v>
      </c>
      <c r="E21" s="82">
        <v>32336</v>
      </c>
      <c r="F21" s="83">
        <f>SUM(E21/$E$35*0.35)</f>
        <v>0.03170302643226103</v>
      </c>
      <c r="G21" s="82">
        <v>5805</v>
      </c>
      <c r="H21" s="83">
        <f>SUM(G21/$G$35*0.15)</f>
        <v>0.004430486017828795</v>
      </c>
      <c r="I21" s="82">
        <v>22574</v>
      </c>
      <c r="J21" s="83">
        <f>SUM(I21/$I$35*0.15)</f>
        <v>0.013789017164498199</v>
      </c>
      <c r="K21" s="83">
        <f>J21+D21+F21+H21</f>
        <v>0.08484529040880802</v>
      </c>
      <c r="L21" s="84">
        <v>1821257</v>
      </c>
      <c r="M21" s="84">
        <v>1748209</v>
      </c>
      <c r="N21" s="85">
        <v>921403</v>
      </c>
      <c r="O21" s="86">
        <v>692379</v>
      </c>
      <c r="P21" s="85">
        <f>SUM(L21:O21)</f>
        <v>5183248</v>
      </c>
      <c r="Q21" s="35"/>
      <c r="R21" s="2"/>
    </row>
    <row r="22" spans="1:18" ht="15">
      <c r="A22" s="75"/>
      <c r="B22" s="76"/>
      <c r="C22" s="76"/>
      <c r="D22" s="87"/>
      <c r="E22" s="76"/>
      <c r="F22" s="87"/>
      <c r="G22" s="76"/>
      <c r="H22" s="76"/>
      <c r="I22" s="76"/>
      <c r="J22" s="76"/>
      <c r="K22" s="76"/>
      <c r="L22" s="88"/>
      <c r="M22" s="88"/>
      <c r="N22" s="89"/>
      <c r="O22" s="90"/>
      <c r="P22" s="89"/>
      <c r="Q22" s="35"/>
      <c r="R22" s="2"/>
    </row>
    <row r="23" spans="1:18" ht="15">
      <c r="A23" s="75"/>
      <c r="B23" s="76" t="s">
        <v>17</v>
      </c>
      <c r="C23" s="82">
        <v>443921</v>
      </c>
      <c r="D23" s="83">
        <f>SUM(C23/$C$35*0.35)</f>
        <v>0.038906281026958034</v>
      </c>
      <c r="E23" s="82">
        <v>37455</v>
      </c>
      <c r="F23" s="83">
        <f>SUM(E23/$E$35*0.35)</f>
        <v>0.03672182258227167</v>
      </c>
      <c r="G23" s="82">
        <v>16872</v>
      </c>
      <c r="H23" s="83">
        <f>SUM(G23/$G$35*0.15)</f>
        <v>0.012877030162412992</v>
      </c>
      <c r="I23" s="82">
        <v>27961</v>
      </c>
      <c r="J23" s="83">
        <f>SUM(I23/$I$35*0.15)</f>
        <v>0.01707959196139515</v>
      </c>
      <c r="K23" s="83">
        <f>J23+D23+F23+H23</f>
        <v>0.10558472573303786</v>
      </c>
      <c r="L23" s="84">
        <v>2535369</v>
      </c>
      <c r="M23" s="84">
        <v>2433679</v>
      </c>
      <c r="N23" s="85">
        <v>1282683</v>
      </c>
      <c r="O23" s="86">
        <v>963860</v>
      </c>
      <c r="P23" s="85">
        <f>SUM(L23:O23)</f>
        <v>7215591</v>
      </c>
      <c r="Q23" s="35"/>
      <c r="R23" s="2"/>
    </row>
    <row r="24" spans="1:18" ht="15">
      <c r="A24" s="75"/>
      <c r="B24" s="76"/>
      <c r="C24" s="76"/>
      <c r="D24" s="87"/>
      <c r="E24" s="76"/>
      <c r="F24" s="87"/>
      <c r="G24" s="76"/>
      <c r="H24" s="76"/>
      <c r="I24" s="76"/>
      <c r="J24" s="76"/>
      <c r="K24" s="76"/>
      <c r="L24" s="88"/>
      <c r="M24" s="88"/>
      <c r="N24" s="89"/>
      <c r="O24" s="90"/>
      <c r="P24" s="89"/>
      <c r="Q24" s="35"/>
      <c r="R24" s="2"/>
    </row>
    <row r="25" spans="1:18" ht="15">
      <c r="A25" s="75"/>
      <c r="B25" s="76" t="s">
        <v>22</v>
      </c>
      <c r="C25" s="82">
        <v>365842</v>
      </c>
      <c r="D25" s="83">
        <f>SUM(C25/$C$35*0.35)</f>
        <v>0.032063253739887006</v>
      </c>
      <c r="E25" s="82">
        <v>27136</v>
      </c>
      <c r="F25" s="83">
        <f>SUM(E25/$E$35*0.35)</f>
        <v>0.026604815848151758</v>
      </c>
      <c r="G25" s="82">
        <v>15349</v>
      </c>
      <c r="H25" s="83">
        <f>SUM(G25/$G$35*0.15)</f>
        <v>0.011714647698131641</v>
      </c>
      <c r="I25" s="82">
        <v>22542</v>
      </c>
      <c r="J25" s="83">
        <f>SUM(I25/$I$35*0.15)</f>
        <v>0.013769470404984423</v>
      </c>
      <c r="K25" s="83">
        <f>J25+D25+F25+H25</f>
        <v>0.08415218769115483</v>
      </c>
      <c r="L25" s="84">
        <v>1870352</v>
      </c>
      <c r="M25" s="84">
        <v>1795335</v>
      </c>
      <c r="N25" s="85">
        <v>946241</v>
      </c>
      <c r="O25" s="86">
        <v>711043</v>
      </c>
      <c r="P25" s="85">
        <f>SUM(L25:O25)</f>
        <v>5322971</v>
      </c>
      <c r="Q25" s="35"/>
      <c r="R25" s="2"/>
    </row>
    <row r="26" spans="1:18" ht="15">
      <c r="A26" s="75"/>
      <c r="B26" s="76"/>
      <c r="C26" s="76"/>
      <c r="D26" s="87"/>
      <c r="E26" s="76"/>
      <c r="F26" s="87"/>
      <c r="G26" s="76"/>
      <c r="H26" s="76"/>
      <c r="I26" s="76"/>
      <c r="J26" s="76"/>
      <c r="K26" s="76"/>
      <c r="L26" s="88"/>
      <c r="M26" s="88"/>
      <c r="N26" s="89"/>
      <c r="O26" s="90"/>
      <c r="P26" s="89"/>
      <c r="Q26" s="35"/>
      <c r="R26" s="2"/>
    </row>
    <row r="27" spans="1:18" ht="15">
      <c r="A27" s="75"/>
      <c r="B27" s="76" t="s">
        <v>24</v>
      </c>
      <c r="C27" s="82">
        <v>478827</v>
      </c>
      <c r="D27" s="83">
        <f>SUM(C27/$C$35*0.35)</f>
        <v>0.04196552500398772</v>
      </c>
      <c r="E27" s="82">
        <v>25529</v>
      </c>
      <c r="F27" s="83">
        <f>SUM(E27/$E$35*0.35)</f>
        <v>0.025029272692639527</v>
      </c>
      <c r="G27" s="82">
        <v>5822</v>
      </c>
      <c r="H27" s="83">
        <f>SUM(G27/$G$35*0.15)</f>
        <v>0.004443460740017096</v>
      </c>
      <c r="I27" s="82">
        <v>21392</v>
      </c>
      <c r="J27" s="83">
        <f>SUM(I27/$I$35*0.15)</f>
        <v>0.013067008734958157</v>
      </c>
      <c r="K27" s="83">
        <f>J27+D27+F27+H27</f>
        <v>0.0845052671716025</v>
      </c>
      <c r="L27" s="84">
        <v>1920416</v>
      </c>
      <c r="M27" s="84">
        <v>1843391</v>
      </c>
      <c r="N27" s="85">
        <v>971569</v>
      </c>
      <c r="O27" s="86">
        <v>730076</v>
      </c>
      <c r="P27" s="85">
        <f>SUM(L27:O27)</f>
        <v>5465452</v>
      </c>
      <c r="Q27" s="35"/>
      <c r="R27" s="2"/>
    </row>
    <row r="28" spans="1:18" ht="15">
      <c r="A28" s="75"/>
      <c r="B28" s="76"/>
      <c r="C28" s="76"/>
      <c r="D28" s="87"/>
      <c r="E28" s="76"/>
      <c r="F28" s="87"/>
      <c r="G28" s="76"/>
      <c r="H28" s="76"/>
      <c r="I28" s="76"/>
      <c r="J28" s="76"/>
      <c r="K28" s="76"/>
      <c r="L28" s="88"/>
      <c r="M28" s="88"/>
      <c r="N28" s="89"/>
      <c r="O28" s="90"/>
      <c r="P28" s="89"/>
      <c r="Q28" s="35"/>
      <c r="R28" s="2"/>
    </row>
    <row r="29" spans="1:18" ht="15">
      <c r="A29" s="75"/>
      <c r="B29" s="76" t="s">
        <v>25</v>
      </c>
      <c r="C29" s="82">
        <v>512109</v>
      </c>
      <c r="D29" s="83">
        <f>SUM(C29/$C$35*0.35)</f>
        <v>0.044882437799595984</v>
      </c>
      <c r="E29" s="82">
        <v>34234</v>
      </c>
      <c r="F29" s="83">
        <f>SUM(E29/$E$35*0.35)</f>
        <v>0.033563873295460914</v>
      </c>
      <c r="G29" s="82">
        <v>12014</v>
      </c>
      <c r="H29" s="83">
        <f>SUM(G29/$G$35*0.15)</f>
        <v>0.00916931249236781</v>
      </c>
      <c r="I29" s="82">
        <v>26279</v>
      </c>
      <c r="J29" s="83">
        <f>SUM(I29/$I$35*0.15)</f>
        <v>0.016052165414452386</v>
      </c>
      <c r="K29" s="83">
        <f>J29+D29+F29+H29</f>
        <v>0.10366778900187709</v>
      </c>
      <c r="L29" s="84">
        <v>2307198</v>
      </c>
      <c r="M29" s="84">
        <v>2214659</v>
      </c>
      <c r="N29" s="85">
        <v>1167247</v>
      </c>
      <c r="O29" s="86">
        <v>877117</v>
      </c>
      <c r="P29" s="85">
        <f>SUM(L29:O29)</f>
        <v>6566221</v>
      </c>
      <c r="Q29" s="35"/>
      <c r="R29" s="2"/>
    </row>
    <row r="30" spans="1:18" ht="15">
      <c r="A30" s="75"/>
      <c r="B30" s="76"/>
      <c r="C30" s="76"/>
      <c r="D30" s="87"/>
      <c r="E30" s="76"/>
      <c r="F30" s="87"/>
      <c r="G30" s="76"/>
      <c r="H30" s="76"/>
      <c r="I30" s="76"/>
      <c r="J30" s="76"/>
      <c r="K30" s="76"/>
      <c r="L30" s="88"/>
      <c r="M30" s="88"/>
      <c r="N30" s="89"/>
      <c r="O30" s="90"/>
      <c r="P30" s="89"/>
      <c r="Q30" s="35"/>
      <c r="R30" s="2"/>
    </row>
    <row r="31" spans="1:18" ht="15">
      <c r="A31" s="75"/>
      <c r="B31" s="76" t="s">
        <v>9</v>
      </c>
      <c r="C31" s="82">
        <v>357067</v>
      </c>
      <c r="D31" s="83">
        <f>SUM(C31/$C$35*0.35)</f>
        <v>0.03129419209150462</v>
      </c>
      <c r="E31" s="82">
        <v>36344</v>
      </c>
      <c r="F31" s="83">
        <f>SUM(E31/$E$35*0.35)</f>
        <v>0.03563257028247448</v>
      </c>
      <c r="G31" s="82">
        <v>15686</v>
      </c>
      <c r="H31" s="83">
        <f>SUM(G31/$G$35*0.15)</f>
        <v>0.011971852485040908</v>
      </c>
      <c r="I31" s="82">
        <v>24999</v>
      </c>
      <c r="J31" s="83">
        <f>SUM(I31/$I$35*0.15)</f>
        <v>0.015270295033901411</v>
      </c>
      <c r="K31" s="83">
        <f>J31+D31+F31+H31</f>
        <v>0.09416890989292143</v>
      </c>
      <c r="L31" s="84">
        <v>1906064</v>
      </c>
      <c r="M31" s="84">
        <v>1829614</v>
      </c>
      <c r="N31" s="85">
        <v>964307</v>
      </c>
      <c r="O31" s="86">
        <v>724619</v>
      </c>
      <c r="P31" s="85">
        <f>SUM(L31:O31)</f>
        <v>5424604</v>
      </c>
      <c r="Q31" s="35"/>
      <c r="R31" s="2"/>
    </row>
    <row r="32" spans="1:18" ht="15">
      <c r="A32" s="75"/>
      <c r="B32" s="76"/>
      <c r="C32" s="76"/>
      <c r="D32" s="87"/>
      <c r="E32" s="76"/>
      <c r="F32" s="87"/>
      <c r="G32" s="76"/>
      <c r="H32" s="76"/>
      <c r="I32" s="76"/>
      <c r="J32" s="76"/>
      <c r="K32" s="76"/>
      <c r="L32" s="88"/>
      <c r="M32" s="88"/>
      <c r="N32" s="89"/>
      <c r="O32" s="90"/>
      <c r="P32" s="89"/>
      <c r="Q32" s="35"/>
      <c r="R32" s="2"/>
    </row>
    <row r="33" spans="1:18" ht="15">
      <c r="A33" s="91"/>
      <c r="B33" s="92" t="s">
        <v>10</v>
      </c>
      <c r="C33" s="82">
        <v>453824</v>
      </c>
      <c r="D33" s="83">
        <f>SUM(C33/$C$35*0.35)</f>
        <v>0.03977420324962821</v>
      </c>
      <c r="E33" s="82">
        <v>79342</v>
      </c>
      <c r="F33" s="83">
        <f>SUM(E33/$E$35*0.35)</f>
        <v>0.07778888926238416</v>
      </c>
      <c r="G33" s="82">
        <v>92106</v>
      </c>
      <c r="H33" s="83">
        <f>SUM(G33/$G$35*0.15)</f>
        <v>0.07029704481621687</v>
      </c>
      <c r="I33" s="82">
        <v>36843</v>
      </c>
      <c r="J33" s="83">
        <f>SUM(I33/$I$35*0.15)</f>
        <v>0.022505039398937145</v>
      </c>
      <c r="K33" s="83">
        <f>J33+D33+F33+H33</f>
        <v>0.2103651767271664</v>
      </c>
      <c r="L33" s="84">
        <v>4401312</v>
      </c>
      <c r="M33" s="84">
        <v>4224784</v>
      </c>
      <c r="N33" s="85">
        <v>2226692</v>
      </c>
      <c r="O33" s="86">
        <v>1673226</v>
      </c>
      <c r="P33" s="85">
        <f>SUM(L31:O33)</f>
        <v>17950618</v>
      </c>
      <c r="Q33" s="35"/>
      <c r="R33" s="2"/>
    </row>
    <row r="34" spans="1:18" ht="15">
      <c r="A34" s="7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88"/>
      <c r="M34" s="88"/>
      <c r="N34" s="89"/>
      <c r="O34" s="90"/>
      <c r="P34" s="89"/>
      <c r="Q34" s="35"/>
      <c r="R34" s="2"/>
    </row>
    <row r="35" spans="1:19" ht="15">
      <c r="A35" s="75"/>
      <c r="B35" s="76" t="s">
        <v>76</v>
      </c>
      <c r="C35" s="93">
        <f aca="true" t="shared" si="0" ref="C35:P35">SUM(C13:C33)</f>
        <v>3993503</v>
      </c>
      <c r="D35" s="87">
        <f t="shared" si="0"/>
        <v>0.35</v>
      </c>
      <c r="E35" s="93">
        <f t="shared" si="0"/>
        <v>356988</v>
      </c>
      <c r="F35" s="87">
        <f t="shared" si="0"/>
        <v>0.3499999999999999</v>
      </c>
      <c r="G35" s="93">
        <f t="shared" si="0"/>
        <v>196536</v>
      </c>
      <c r="H35" s="87">
        <f t="shared" si="0"/>
        <v>0.15</v>
      </c>
      <c r="I35" s="93">
        <f t="shared" si="0"/>
        <v>245565</v>
      </c>
      <c r="J35" s="87">
        <f t="shared" si="0"/>
        <v>0.15</v>
      </c>
      <c r="K35" s="87">
        <f t="shared" si="0"/>
        <v>1</v>
      </c>
      <c r="L35" s="88">
        <f t="shared" si="0"/>
        <v>22515241</v>
      </c>
      <c r="M35" s="88">
        <f t="shared" si="0"/>
        <v>21612187</v>
      </c>
      <c r="N35" s="89">
        <f t="shared" si="0"/>
        <v>11390813</v>
      </c>
      <c r="O35" s="90">
        <f t="shared" si="0"/>
        <v>8559516</v>
      </c>
      <c r="P35" s="90">
        <f t="shared" si="0"/>
        <v>69502361</v>
      </c>
      <c r="Q35" s="44"/>
      <c r="R35" s="2"/>
      <c r="S35" s="3"/>
    </row>
    <row r="36" spans="1:18" ht="15.75" thickBot="1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6"/>
      <c r="M36" s="96"/>
      <c r="N36" s="97"/>
      <c r="O36" s="98"/>
      <c r="P36" s="108"/>
      <c r="Q36" s="35"/>
      <c r="R36" s="2"/>
    </row>
    <row r="37" spans="3:18" ht="15">
      <c r="C37" t="s">
        <v>61</v>
      </c>
      <c r="H37" s="4"/>
      <c r="J37" s="4"/>
      <c r="L37" s="3"/>
      <c r="P37" s="38"/>
      <c r="R37" s="2"/>
    </row>
    <row r="38" spans="12:14" ht="15">
      <c r="L38" s="3"/>
      <c r="N38" t="s">
        <v>105</v>
      </c>
    </row>
    <row r="39" spans="2:14" ht="15">
      <c r="B39" t="s">
        <v>70</v>
      </c>
      <c r="L39" s="3"/>
      <c r="N39" t="s">
        <v>110</v>
      </c>
    </row>
    <row r="40" spans="10:14" ht="15">
      <c r="J40" s="4"/>
      <c r="L40" s="3"/>
      <c r="N40" s="57"/>
    </row>
    <row r="41" ht="15">
      <c r="C41" t="s">
        <v>115</v>
      </c>
    </row>
    <row r="42" spans="3:12" ht="15">
      <c r="C42" t="s">
        <v>57</v>
      </c>
      <c r="L42" s="3"/>
    </row>
    <row r="43" ht="15">
      <c r="C43" t="s">
        <v>59</v>
      </c>
    </row>
    <row r="46" ht="15">
      <c r="M46" t="s">
        <v>2</v>
      </c>
    </row>
    <row r="61" spans="3:15" ht="15">
      <c r="C61" s="3"/>
      <c r="D61" s="3"/>
      <c r="E61" s="3"/>
      <c r="F61" s="3"/>
      <c r="G61" s="3"/>
      <c r="H61" s="3"/>
      <c r="K61" s="3"/>
      <c r="M61" s="3"/>
      <c r="N61" s="3"/>
      <c r="O61" s="3"/>
    </row>
    <row r="62" spans="5:11" ht="15">
      <c r="E62" s="3"/>
      <c r="F62" s="3"/>
      <c r="H62" s="3"/>
      <c r="K62" s="3"/>
    </row>
    <row r="63" spans="3:15" ht="15">
      <c r="C63" s="3"/>
      <c r="D63" s="3"/>
      <c r="E63" s="3"/>
      <c r="F63" s="3"/>
      <c r="G63" s="3"/>
      <c r="H63" s="3"/>
      <c r="K63" s="3"/>
      <c r="M63" s="3"/>
      <c r="N63" s="3"/>
      <c r="O63" s="3"/>
    </row>
    <row r="64" spans="4:11" ht="15">
      <c r="D64" s="3"/>
      <c r="E64" s="3"/>
      <c r="H64" s="3"/>
      <c r="K64" s="3"/>
    </row>
    <row r="65" spans="3:15" ht="15">
      <c r="C65" s="3"/>
      <c r="D65" s="3"/>
      <c r="E65" s="3"/>
      <c r="F65" s="3"/>
      <c r="G65" s="3"/>
      <c r="H65" s="3"/>
      <c r="K65" s="3"/>
      <c r="M65" s="3"/>
      <c r="N65" s="3"/>
      <c r="O65" s="3"/>
    </row>
    <row r="66" spans="4:11" ht="15">
      <c r="D66" s="3"/>
      <c r="E66" s="3"/>
      <c r="F66" s="3"/>
      <c r="H66" s="3"/>
      <c r="K66" s="3"/>
    </row>
    <row r="67" spans="3:15" ht="15">
      <c r="C67" s="3"/>
      <c r="D67" s="3"/>
      <c r="E67" s="3"/>
      <c r="F67" s="3"/>
      <c r="G67" s="3"/>
      <c r="H67" s="3"/>
      <c r="K67" s="3"/>
      <c r="M67" s="3"/>
      <c r="N67" s="3"/>
      <c r="O67" s="3"/>
    </row>
    <row r="68" spans="4:11" ht="15">
      <c r="D68" s="3"/>
      <c r="E68" s="3"/>
      <c r="H68" s="3"/>
      <c r="K68" s="3"/>
    </row>
    <row r="69" spans="3:15" ht="15">
      <c r="C69" s="3"/>
      <c r="D69" s="3"/>
      <c r="E69" s="3"/>
      <c r="F69" s="3"/>
      <c r="G69" s="3"/>
      <c r="H69" s="3"/>
      <c r="K69" s="3"/>
      <c r="M69" s="3"/>
      <c r="N69" s="3"/>
      <c r="O69" s="3"/>
    </row>
    <row r="70" spans="4:11" ht="15">
      <c r="D70" s="3"/>
      <c r="E70" s="3"/>
      <c r="F70" s="3"/>
      <c r="H70" s="3"/>
      <c r="K70" s="3"/>
    </row>
    <row r="71" spans="3:15" ht="15">
      <c r="C71" s="3"/>
      <c r="D71" s="3"/>
      <c r="E71" s="3"/>
      <c r="F71" s="3"/>
      <c r="G71" s="3"/>
      <c r="H71" s="3"/>
      <c r="K71" s="3"/>
      <c r="M71" s="3"/>
      <c r="N71" s="3"/>
      <c r="O71" s="3"/>
    </row>
    <row r="72" spans="4:11" ht="15">
      <c r="D72" s="3"/>
      <c r="E72" s="3"/>
      <c r="H72" s="3"/>
      <c r="K72" s="3"/>
    </row>
    <row r="73" spans="3:15" ht="15">
      <c r="C73" s="3"/>
      <c r="D73" s="3"/>
      <c r="E73" s="3"/>
      <c r="F73" s="3"/>
      <c r="G73" s="3"/>
      <c r="H73" s="3"/>
      <c r="K73" s="3"/>
      <c r="M73" s="3"/>
      <c r="N73" s="3"/>
      <c r="O73" s="3"/>
    </row>
    <row r="74" spans="4:11" ht="15">
      <c r="D74" s="3"/>
      <c r="E74" s="3"/>
      <c r="F74" s="3"/>
      <c r="H74" s="3"/>
      <c r="K74" s="3"/>
    </row>
    <row r="75" spans="3:15" ht="15">
      <c r="C75" s="3"/>
      <c r="D75" s="3"/>
      <c r="E75" s="3"/>
      <c r="F75" s="3"/>
      <c r="G75" s="3"/>
      <c r="H75" s="3"/>
      <c r="K75" s="3"/>
      <c r="M75" s="3"/>
      <c r="N75" s="3"/>
      <c r="O75" s="3"/>
    </row>
    <row r="76" spans="4:11" ht="15">
      <c r="D76" s="3"/>
      <c r="E76" s="3"/>
      <c r="H76" s="3"/>
      <c r="K76" s="3"/>
    </row>
    <row r="77" spans="3:15" ht="15">
      <c r="C77" s="3"/>
      <c r="D77" s="3"/>
      <c r="E77" s="3"/>
      <c r="F77" s="3"/>
      <c r="G77" s="3"/>
      <c r="H77" s="3"/>
      <c r="K77" s="3"/>
      <c r="M77" s="3"/>
      <c r="N77" s="3"/>
      <c r="O77" s="3"/>
    </row>
    <row r="78" spans="4:11" ht="15">
      <c r="D78" s="3"/>
      <c r="E78" s="3"/>
      <c r="H78" s="3"/>
      <c r="K78" s="3"/>
    </row>
    <row r="79" spans="3:15" ht="15">
      <c r="C79" s="3"/>
      <c r="D79" s="3"/>
      <c r="E79" s="3"/>
      <c r="F79" s="3"/>
      <c r="G79" s="3"/>
      <c r="H79" s="3"/>
      <c r="K79" s="3"/>
      <c r="M79" s="3"/>
      <c r="N79" s="3"/>
      <c r="O79" s="3"/>
    </row>
    <row r="80" spans="4:11" ht="15">
      <c r="D80" s="3"/>
      <c r="E80" s="3"/>
      <c r="F80" s="3"/>
      <c r="H80" s="3"/>
      <c r="K80" s="3"/>
    </row>
    <row r="81" spans="3:15" ht="15">
      <c r="C81" s="3"/>
      <c r="D81" s="3"/>
      <c r="E81" s="3"/>
      <c r="F81" s="3"/>
      <c r="G81" s="3"/>
      <c r="H81" s="3"/>
      <c r="K81" s="3"/>
      <c r="M81" s="3"/>
      <c r="N81" s="3"/>
      <c r="O81" s="3"/>
    </row>
    <row r="82" spans="4:13" ht="15">
      <c r="D82" s="3"/>
      <c r="E82" s="3"/>
      <c r="H82" s="3"/>
      <c r="K82" s="3"/>
      <c r="M82" s="3"/>
    </row>
    <row r="83" spans="3:15" ht="15">
      <c r="C83" s="3"/>
      <c r="D83" s="3"/>
      <c r="E83" s="3"/>
      <c r="F83" s="3"/>
      <c r="G83" s="3"/>
      <c r="H83" s="3"/>
      <c r="K83" s="3"/>
      <c r="M83" s="3"/>
      <c r="N83" s="3"/>
      <c r="O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4" ht="15">
      <c r="M104" s="3"/>
    </row>
    <row r="106" ht="15">
      <c r="M106" s="3"/>
    </row>
    <row r="107" ht="15">
      <c r="M107" s="3"/>
    </row>
    <row r="108" ht="15">
      <c r="M108" s="3"/>
    </row>
    <row r="109" spans="12:13" ht="15">
      <c r="L109" s="3"/>
      <c r="M109" s="3"/>
    </row>
    <row r="110" spans="12:13" ht="15">
      <c r="L110" s="3"/>
      <c r="M110" s="3"/>
    </row>
    <row r="111" spans="12:13" ht="15">
      <c r="L111" s="3"/>
      <c r="M111" s="3"/>
    </row>
    <row r="112" spans="12:13" ht="15">
      <c r="L112" s="3"/>
      <c r="M112" s="3"/>
    </row>
    <row r="113" spans="3:18" ht="15">
      <c r="C113" s="3"/>
      <c r="D113" s="2"/>
      <c r="E113" s="4"/>
      <c r="F113" s="2"/>
      <c r="G113" s="4"/>
      <c r="H113" s="3"/>
      <c r="I113" s="4"/>
      <c r="J113" s="4"/>
      <c r="K113" s="3"/>
      <c r="L113" s="3"/>
      <c r="M113" s="3"/>
      <c r="N113" s="3"/>
      <c r="O113" s="3"/>
      <c r="P113" s="5"/>
      <c r="R113" s="5"/>
    </row>
    <row r="114" spans="3:16" ht="15">
      <c r="C114" s="3"/>
      <c r="D114" s="2"/>
      <c r="E114" s="4"/>
      <c r="F114" s="2"/>
      <c r="G114" s="4"/>
      <c r="H114" s="3"/>
      <c r="I114" s="4"/>
      <c r="J114" s="4"/>
      <c r="L114" s="3"/>
      <c r="M114" s="3"/>
      <c r="P114" s="5"/>
    </row>
    <row r="115" spans="3:18" ht="15">
      <c r="C115" s="3"/>
      <c r="D115" s="2"/>
      <c r="E115" s="4"/>
      <c r="F115" s="2"/>
      <c r="G115" s="4"/>
      <c r="H115" s="3"/>
      <c r="I115" s="4"/>
      <c r="J115" s="4"/>
      <c r="K115" s="3"/>
      <c r="L115" s="3"/>
      <c r="M115" s="3"/>
      <c r="N115" s="3"/>
      <c r="O115" s="3"/>
      <c r="P115" s="5"/>
      <c r="R115" s="5"/>
    </row>
    <row r="116" spans="3:16" ht="15">
      <c r="C116" s="3"/>
      <c r="D116" s="2"/>
      <c r="E116" s="4"/>
      <c r="F116" s="2"/>
      <c r="G116" s="4"/>
      <c r="H116" s="3"/>
      <c r="I116" s="4"/>
      <c r="J116" s="4"/>
      <c r="L116" s="3"/>
      <c r="M116" s="3"/>
      <c r="P116" s="5"/>
    </row>
    <row r="117" spans="3:18" ht="15">
      <c r="C117" s="3"/>
      <c r="D117" s="2"/>
      <c r="E117" s="4"/>
      <c r="F117" s="2"/>
      <c r="G117" s="4"/>
      <c r="H117" s="3"/>
      <c r="I117" s="4"/>
      <c r="J117" s="4"/>
      <c r="K117" s="3"/>
      <c r="L117" s="3"/>
      <c r="M117" s="3"/>
      <c r="N117" s="3"/>
      <c r="O117" s="3"/>
      <c r="P117" s="5"/>
      <c r="R117" s="5"/>
    </row>
    <row r="118" spans="3:16" ht="15">
      <c r="C118" s="3"/>
      <c r="D118" s="2"/>
      <c r="E118" s="4"/>
      <c r="F118" s="2"/>
      <c r="G118" s="4"/>
      <c r="H118" s="3"/>
      <c r="I118" s="4"/>
      <c r="J118" s="4"/>
      <c r="L118" s="3"/>
      <c r="M118" s="3"/>
      <c r="P118" s="5"/>
    </row>
    <row r="119" spans="3:18" ht="15">
      <c r="C119" s="3"/>
      <c r="D119" s="2"/>
      <c r="E119" s="4"/>
      <c r="F119" s="2"/>
      <c r="G119" s="4"/>
      <c r="H119" s="3"/>
      <c r="I119" s="4"/>
      <c r="J119" s="4"/>
      <c r="K119" s="3"/>
      <c r="L119" s="3"/>
      <c r="M119" s="3"/>
      <c r="N119" s="3"/>
      <c r="O119" s="3"/>
      <c r="P119" s="5"/>
      <c r="R119" s="5"/>
    </row>
    <row r="120" spans="3:13" ht="15">
      <c r="C120" s="3"/>
      <c r="D120" s="2"/>
      <c r="E120" s="4"/>
      <c r="F120" s="2"/>
      <c r="G120" s="4"/>
      <c r="H120" s="3"/>
      <c r="I120" s="4"/>
      <c r="J120" s="4"/>
      <c r="L120" s="3"/>
      <c r="M120" s="3"/>
    </row>
    <row r="121" spans="3:18" ht="15">
      <c r="C121" s="3"/>
      <c r="D121" s="2"/>
      <c r="E121" s="4"/>
      <c r="F121" s="2"/>
      <c r="G121" s="4"/>
      <c r="H121" s="3"/>
      <c r="I121" s="4"/>
      <c r="J121" s="4"/>
      <c r="K121" s="3"/>
      <c r="L121" s="3"/>
      <c r="M121" s="3"/>
      <c r="N121" s="3"/>
      <c r="O121" s="3"/>
      <c r="P121" s="5"/>
      <c r="R121" s="5"/>
    </row>
    <row r="122" spans="3:16" ht="15">
      <c r="C122" s="3"/>
      <c r="D122" s="2"/>
      <c r="E122" s="4"/>
      <c r="F122" s="2"/>
      <c r="G122" s="4"/>
      <c r="H122" s="3"/>
      <c r="I122" s="4"/>
      <c r="J122" s="4"/>
      <c r="L122" s="3"/>
      <c r="M122" s="3"/>
      <c r="P122" s="5"/>
    </row>
    <row r="123" spans="3:18" ht="15">
      <c r="C123" s="3"/>
      <c r="D123" s="2"/>
      <c r="E123" s="4"/>
      <c r="F123" s="2"/>
      <c r="G123" s="4"/>
      <c r="H123" s="3"/>
      <c r="I123" s="4"/>
      <c r="J123" s="4"/>
      <c r="K123" s="3"/>
      <c r="L123" s="3"/>
      <c r="M123" s="3"/>
      <c r="N123" s="3"/>
      <c r="O123" s="3"/>
      <c r="P123" s="5"/>
      <c r="R123" s="5"/>
    </row>
    <row r="124" spans="3:16" ht="15">
      <c r="C124" s="3"/>
      <c r="D124" s="2"/>
      <c r="E124" s="4"/>
      <c r="F124" s="2"/>
      <c r="G124" s="4"/>
      <c r="H124" s="3"/>
      <c r="I124" s="4"/>
      <c r="J124" s="4"/>
      <c r="L124" s="3"/>
      <c r="M124" s="3"/>
      <c r="P124" s="5"/>
    </row>
    <row r="125" spans="3:18" ht="15">
      <c r="C125" s="3"/>
      <c r="D125" s="2"/>
      <c r="E125" s="4"/>
      <c r="F125" s="2"/>
      <c r="G125" s="4"/>
      <c r="H125" s="3"/>
      <c r="I125" s="4"/>
      <c r="J125" s="4"/>
      <c r="K125" s="3"/>
      <c r="L125" s="3"/>
      <c r="M125" s="3"/>
      <c r="N125" s="3"/>
      <c r="O125" s="3"/>
      <c r="P125" s="5"/>
      <c r="R125" s="5"/>
    </row>
    <row r="126" spans="3:16" ht="15">
      <c r="C126" s="3"/>
      <c r="D126" s="2"/>
      <c r="E126" s="4"/>
      <c r="F126" s="2"/>
      <c r="G126" s="4"/>
      <c r="H126" s="3"/>
      <c r="I126" s="4"/>
      <c r="J126" s="4"/>
      <c r="L126" s="3"/>
      <c r="M126" s="3"/>
      <c r="P126" s="5"/>
    </row>
    <row r="127" spans="3:18" ht="15">
      <c r="C127" s="3"/>
      <c r="D127" s="2"/>
      <c r="E127" s="4"/>
      <c r="F127" s="2"/>
      <c r="G127" s="4"/>
      <c r="H127" s="3"/>
      <c r="I127" s="4"/>
      <c r="J127" s="4"/>
      <c r="K127" s="3"/>
      <c r="L127" s="3"/>
      <c r="M127" s="3"/>
      <c r="N127" s="3"/>
      <c r="O127" s="3"/>
      <c r="P127" s="5"/>
      <c r="R127" s="5"/>
    </row>
    <row r="128" spans="3:13" ht="15">
      <c r="C128" s="3"/>
      <c r="D128" s="2"/>
      <c r="E128" s="4"/>
      <c r="F128" s="2"/>
      <c r="G128" s="4"/>
      <c r="H128" s="3"/>
      <c r="I128" s="4"/>
      <c r="J128" s="4"/>
      <c r="L128" s="3"/>
      <c r="M128" s="3"/>
    </row>
    <row r="129" spans="3:18" ht="15">
      <c r="C129" s="3"/>
      <c r="D129" s="2"/>
      <c r="E129" s="4"/>
      <c r="F129" s="2"/>
      <c r="G129" s="4"/>
      <c r="H129" s="3"/>
      <c r="I129" s="4"/>
      <c r="J129" s="4"/>
      <c r="K129" s="3"/>
      <c r="L129" s="3"/>
      <c r="M129" s="3"/>
      <c r="N129" s="3"/>
      <c r="O129" s="3"/>
      <c r="P129" s="5"/>
      <c r="R129" s="5"/>
    </row>
    <row r="130" spans="3:16" ht="15">
      <c r="C130" s="3"/>
      <c r="D130" s="2"/>
      <c r="E130" s="4"/>
      <c r="F130" s="2"/>
      <c r="G130" s="4"/>
      <c r="H130" s="3"/>
      <c r="I130" s="4"/>
      <c r="J130" s="4"/>
      <c r="L130" s="3"/>
      <c r="M130" s="3"/>
      <c r="P130" s="5"/>
    </row>
    <row r="131" spans="3:18" ht="15">
      <c r="C131" s="3"/>
      <c r="D131" s="2"/>
      <c r="E131" s="4"/>
      <c r="F131" s="2"/>
      <c r="G131" s="4"/>
      <c r="H131" s="3"/>
      <c r="I131" s="4"/>
      <c r="J131" s="4"/>
      <c r="K131" s="3"/>
      <c r="L131" s="3"/>
      <c r="M131" s="3"/>
      <c r="N131" s="3"/>
      <c r="O131" s="3"/>
      <c r="P131" s="5"/>
      <c r="R131" s="5"/>
    </row>
    <row r="132" spans="3:16" ht="15">
      <c r="C132" s="3"/>
      <c r="D132" s="2"/>
      <c r="E132" s="4"/>
      <c r="F132" s="2"/>
      <c r="G132" s="4"/>
      <c r="H132" s="3"/>
      <c r="I132" s="4"/>
      <c r="J132" s="4"/>
      <c r="L132" s="3"/>
      <c r="M132" s="3"/>
      <c r="P132" s="5"/>
    </row>
    <row r="133" spans="3:18" ht="15">
      <c r="C133" s="3"/>
      <c r="D133" s="2"/>
      <c r="E133" s="4"/>
      <c r="F133" s="2"/>
      <c r="G133" s="4"/>
      <c r="H133" s="3"/>
      <c r="I133" s="4"/>
      <c r="J133" s="4"/>
      <c r="K133" s="3"/>
      <c r="L133" s="3"/>
      <c r="M133" s="3"/>
      <c r="N133" s="3"/>
      <c r="O133" s="3"/>
      <c r="P133" s="5"/>
      <c r="R133" s="5"/>
    </row>
    <row r="134" spans="3:16" ht="15">
      <c r="C134" s="3"/>
      <c r="D134" s="2"/>
      <c r="E134" s="4"/>
      <c r="F134" s="2"/>
      <c r="G134" s="4"/>
      <c r="H134" s="3"/>
      <c r="I134" s="4"/>
      <c r="J134" s="4"/>
      <c r="L134" s="3"/>
      <c r="M134" s="3"/>
      <c r="P134" s="5"/>
    </row>
    <row r="135" spans="3:18" ht="15">
      <c r="C135" s="3"/>
      <c r="D135" s="2"/>
      <c r="E135" s="4"/>
      <c r="F135" s="2"/>
      <c r="G135" s="4"/>
      <c r="H135" s="3"/>
      <c r="I135" s="4"/>
      <c r="J135" s="4"/>
      <c r="K135" s="3"/>
      <c r="L135" s="3"/>
      <c r="M135" s="3"/>
      <c r="N135" s="3"/>
      <c r="O135" s="3"/>
      <c r="P135" s="5"/>
      <c r="R135" s="5"/>
    </row>
    <row r="140" ht="15">
      <c r="R140" t="s">
        <v>23</v>
      </c>
    </row>
    <row r="142" spans="3:11" ht="15">
      <c r="C142" s="3"/>
      <c r="K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65" spans="3:13" ht="15">
      <c r="C165" s="3"/>
      <c r="D165" s="3"/>
      <c r="E165" s="3"/>
      <c r="F165" s="3"/>
      <c r="G165" s="3"/>
      <c r="H165" s="3"/>
      <c r="K165" s="5"/>
      <c r="M165" s="3"/>
    </row>
    <row r="166" spans="5:13" ht="15">
      <c r="E166" s="3"/>
      <c r="F166" s="3"/>
      <c r="G166" s="3"/>
      <c r="H166" s="3"/>
      <c r="K166" s="3"/>
      <c r="M166" s="3"/>
    </row>
    <row r="167" spans="3:13" ht="15">
      <c r="C167" s="3"/>
      <c r="D167" s="3"/>
      <c r="E167" s="3"/>
      <c r="F167" s="3"/>
      <c r="G167" s="3"/>
      <c r="H167" s="3"/>
      <c r="K167" s="5"/>
      <c r="M167" s="3"/>
    </row>
    <row r="168" spans="4:13" ht="15">
      <c r="D168" s="3"/>
      <c r="E168" s="3"/>
      <c r="G168" s="3"/>
      <c r="H168" s="3"/>
      <c r="K168" s="3"/>
      <c r="M168" s="3"/>
    </row>
    <row r="169" spans="3:13" ht="15">
      <c r="C169" s="3"/>
      <c r="D169" s="3"/>
      <c r="E169" s="3"/>
      <c r="F169" s="3"/>
      <c r="G169" s="3"/>
      <c r="H169" s="3"/>
      <c r="K169" s="5"/>
      <c r="M169" s="3"/>
    </row>
    <row r="170" spans="4:13" ht="15">
      <c r="D170" s="3"/>
      <c r="E170" s="3"/>
      <c r="F170" s="3"/>
      <c r="G170" s="3"/>
      <c r="H170" s="3"/>
      <c r="K170" s="3"/>
      <c r="M170" s="3"/>
    </row>
    <row r="171" spans="3:13" ht="15">
      <c r="C171" s="3"/>
      <c r="D171" s="3"/>
      <c r="E171" s="3"/>
      <c r="F171" s="3"/>
      <c r="G171" s="3"/>
      <c r="H171" s="3"/>
      <c r="K171" s="5"/>
      <c r="M171" s="3"/>
    </row>
    <row r="172" spans="4:13" ht="15">
      <c r="D172" s="3"/>
      <c r="E172" s="3"/>
      <c r="G172" s="3"/>
      <c r="H172" s="3"/>
      <c r="K172" s="3"/>
      <c r="M172" s="3"/>
    </row>
    <row r="173" spans="3:13" ht="15">
      <c r="C173" s="3"/>
      <c r="D173" s="3"/>
      <c r="E173" s="3"/>
      <c r="F173" s="3"/>
      <c r="G173" s="3"/>
      <c r="H173" s="3"/>
      <c r="K173" s="5"/>
      <c r="M173" s="3"/>
    </row>
    <row r="174" spans="4:13" ht="15">
      <c r="D174" s="3"/>
      <c r="E174" s="3"/>
      <c r="F174" s="3"/>
      <c r="G174" s="3"/>
      <c r="H174" s="3"/>
      <c r="K174" s="3"/>
      <c r="M174" s="3"/>
    </row>
    <row r="175" spans="3:13" ht="15">
      <c r="C175" s="3"/>
      <c r="D175" s="3"/>
      <c r="E175" s="3"/>
      <c r="F175" s="3"/>
      <c r="G175" s="3"/>
      <c r="H175" s="3"/>
      <c r="K175" s="5"/>
      <c r="M175" s="3"/>
    </row>
    <row r="176" spans="4:13" ht="15">
      <c r="D176" s="3"/>
      <c r="E176" s="3"/>
      <c r="G176" s="3"/>
      <c r="H176" s="3"/>
      <c r="K176" s="3"/>
      <c r="M176" s="3"/>
    </row>
    <row r="177" spans="3:13" ht="15">
      <c r="C177" s="3"/>
      <c r="D177" s="3"/>
      <c r="E177" s="3"/>
      <c r="F177" s="3"/>
      <c r="G177" s="3"/>
      <c r="H177" s="3"/>
      <c r="K177" s="5"/>
      <c r="M177" s="3"/>
    </row>
    <row r="178" spans="4:13" ht="15">
      <c r="D178" s="3"/>
      <c r="E178" s="3"/>
      <c r="F178" s="3"/>
      <c r="G178" s="3"/>
      <c r="H178" s="3"/>
      <c r="K178" s="3"/>
      <c r="M178" s="3"/>
    </row>
    <row r="179" spans="3:13" ht="15">
      <c r="C179" s="3"/>
      <c r="D179" s="3"/>
      <c r="E179" s="3"/>
      <c r="F179" s="3"/>
      <c r="G179" s="3"/>
      <c r="H179" s="3"/>
      <c r="K179" s="5"/>
      <c r="M179" s="3"/>
    </row>
    <row r="180" spans="4:13" ht="15">
      <c r="D180" s="3"/>
      <c r="E180" s="3"/>
      <c r="G180" s="3"/>
      <c r="H180" s="3"/>
      <c r="K180" s="3"/>
      <c r="M180" s="3"/>
    </row>
    <row r="181" spans="3:13" ht="15">
      <c r="C181" s="3"/>
      <c r="D181" s="3"/>
      <c r="E181" s="3"/>
      <c r="F181" s="3"/>
      <c r="G181" s="3"/>
      <c r="H181" s="3"/>
      <c r="K181" s="5"/>
      <c r="M181" s="3"/>
    </row>
    <row r="182" spans="4:13" ht="15">
      <c r="D182" s="3"/>
      <c r="E182" s="3"/>
      <c r="F182" s="3"/>
      <c r="G182" s="3"/>
      <c r="H182" s="3"/>
      <c r="K182" s="3"/>
      <c r="M182" s="3"/>
    </row>
    <row r="183" spans="3:13" ht="15">
      <c r="C183" s="3"/>
      <c r="D183" s="3"/>
      <c r="E183" s="3"/>
      <c r="F183" s="3"/>
      <c r="G183" s="3"/>
      <c r="H183" s="3"/>
      <c r="K183" s="5"/>
      <c r="M183" s="3"/>
    </row>
    <row r="184" spans="4:13" ht="15">
      <c r="D184" s="3"/>
      <c r="E184" s="3"/>
      <c r="G184" s="3"/>
      <c r="H184" s="3"/>
      <c r="K184" s="3"/>
      <c r="M184" s="3"/>
    </row>
    <row r="185" spans="3:13" ht="15">
      <c r="C185" s="3"/>
      <c r="D185" s="3"/>
      <c r="E185" s="3"/>
      <c r="F185" s="3"/>
      <c r="G185" s="3"/>
      <c r="H185" s="3"/>
      <c r="K185" s="5"/>
      <c r="M185" s="3"/>
    </row>
    <row r="186" spans="4:13" ht="15">
      <c r="D186" s="3"/>
      <c r="E186" s="3"/>
      <c r="G186" s="3"/>
      <c r="H186" s="3"/>
      <c r="K186" s="3"/>
      <c r="M186" s="3"/>
    </row>
    <row r="187" spans="3:13" ht="15">
      <c r="C187" s="3"/>
      <c r="D187" s="3"/>
      <c r="E187" s="3"/>
      <c r="F187" s="3"/>
      <c r="G187" s="3"/>
      <c r="H187" s="3"/>
      <c r="K187" s="5"/>
      <c r="M187" s="3"/>
    </row>
    <row r="188" ht="15">
      <c r="D188" s="3"/>
    </row>
    <row r="189" ht="15">
      <c r="D189" s="3"/>
    </row>
    <row r="190" ht="15">
      <c r="D190" s="3"/>
    </row>
  </sheetData>
  <printOptions/>
  <pageMargins left="0.5" right="0.5" top="0.5" bottom="0.5" header="0.5" footer="0.5"/>
  <pageSetup horizontalDpi="300" verticalDpi="300" orientation="landscape" paperSize="5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20">
      <selection activeCell="A36" sqref="A36"/>
    </sheetView>
  </sheetViews>
  <sheetFormatPr defaultColWidth="8.88671875" defaultRowHeight="15"/>
  <cols>
    <col min="1" max="1" width="0.671875" style="0" customWidth="1"/>
    <col min="2" max="2" width="7.10546875" style="0" customWidth="1"/>
    <col min="3" max="3" width="10.88671875" style="0" customWidth="1"/>
    <col min="4" max="4" width="9.88671875" style="0" customWidth="1"/>
    <col min="5" max="5" width="9.4453125" style="0" customWidth="1"/>
    <col min="6" max="6" width="7.10546875" style="0" customWidth="1"/>
    <col min="7" max="7" width="9.4453125" style="0" customWidth="1"/>
    <col min="8" max="8" width="11.88671875" style="0" customWidth="1"/>
    <col min="9" max="10" width="9.4453125" style="0" customWidth="1"/>
    <col min="11" max="12" width="10.88671875" style="0" customWidth="1"/>
    <col min="13" max="13" width="11.3359375" style="0" customWidth="1"/>
    <col min="14" max="16" width="10.88671875" style="0" customWidth="1"/>
    <col min="17" max="17" width="8.3359375" style="0" customWidth="1"/>
    <col min="18" max="16384" width="7.10546875" style="0" customWidth="1"/>
  </cols>
  <sheetData>
    <row r="1" ht="15"/>
    <row r="4" spans="7:14" ht="15.75">
      <c r="G4" s="9"/>
      <c r="H4" s="52" t="s">
        <v>96</v>
      </c>
      <c r="N4" s="9"/>
    </row>
    <row r="5" spans="7:14" ht="15.75">
      <c r="G5" s="9"/>
      <c r="H5" s="9" t="s">
        <v>35</v>
      </c>
      <c r="N5" s="9"/>
    </row>
    <row r="6" spans="6:16" ht="15.75">
      <c r="F6" s="9"/>
      <c r="H6" s="52" t="s">
        <v>97</v>
      </c>
      <c r="P6" s="56"/>
    </row>
    <row r="7" spans="8:9" ht="15.75">
      <c r="H7" s="9"/>
      <c r="I7" s="55" t="s">
        <v>98</v>
      </c>
    </row>
    <row r="8" ht="15.75" thickBot="1"/>
    <row r="9" spans="1:18" ht="15">
      <c r="A9" s="148"/>
      <c r="B9" s="151"/>
      <c r="C9" s="152" t="s">
        <v>37</v>
      </c>
      <c r="D9" s="153" t="s">
        <v>102</v>
      </c>
      <c r="E9" s="152"/>
      <c r="F9" s="152" t="s">
        <v>60</v>
      </c>
      <c r="G9" s="152"/>
      <c r="H9" s="152" t="s">
        <v>41</v>
      </c>
      <c r="I9" s="152"/>
      <c r="J9" s="152"/>
      <c r="K9" s="152" t="s">
        <v>31</v>
      </c>
      <c r="L9" s="152" t="s">
        <v>76</v>
      </c>
      <c r="M9" s="152" t="s">
        <v>51</v>
      </c>
      <c r="N9" s="153" t="s">
        <v>106</v>
      </c>
      <c r="O9" s="153" t="s">
        <v>88</v>
      </c>
      <c r="P9" s="154"/>
      <c r="Q9" s="155" t="s">
        <v>5</v>
      </c>
      <c r="R9" s="35"/>
    </row>
    <row r="10" spans="1:18" ht="15">
      <c r="A10" s="149"/>
      <c r="B10" s="156" t="s">
        <v>68</v>
      </c>
      <c r="C10" s="157" t="s">
        <v>30</v>
      </c>
      <c r="D10" s="157" t="s">
        <v>18</v>
      </c>
      <c r="E10" s="158" t="s">
        <v>16</v>
      </c>
      <c r="F10" s="157" t="s">
        <v>44</v>
      </c>
      <c r="G10" s="158" t="s">
        <v>12</v>
      </c>
      <c r="H10" s="159" t="s">
        <v>99</v>
      </c>
      <c r="I10" s="158" t="s">
        <v>12</v>
      </c>
      <c r="J10" s="157" t="s">
        <v>76</v>
      </c>
      <c r="K10" s="157" t="s">
        <v>29</v>
      </c>
      <c r="L10" s="159" t="s">
        <v>101</v>
      </c>
      <c r="M10" s="157" t="s">
        <v>38</v>
      </c>
      <c r="N10" s="157" t="s">
        <v>26</v>
      </c>
      <c r="O10" s="157" t="s">
        <v>26</v>
      </c>
      <c r="P10" s="160"/>
      <c r="Q10" s="161" t="s">
        <v>54</v>
      </c>
      <c r="R10" s="35"/>
    </row>
    <row r="11" spans="1:18" ht="15.75" thickBot="1">
      <c r="A11" s="150"/>
      <c r="B11" s="162"/>
      <c r="C11" s="163" t="s">
        <v>67</v>
      </c>
      <c r="D11" s="163" t="s">
        <v>62</v>
      </c>
      <c r="E11" s="163" t="s">
        <v>47</v>
      </c>
      <c r="F11" s="163" t="s">
        <v>53</v>
      </c>
      <c r="G11" s="163" t="s">
        <v>47</v>
      </c>
      <c r="H11" s="163" t="s">
        <v>33</v>
      </c>
      <c r="I11" s="163" t="s">
        <v>47</v>
      </c>
      <c r="J11" s="163" t="s">
        <v>27</v>
      </c>
      <c r="K11" s="163" t="s">
        <v>66</v>
      </c>
      <c r="L11" s="163" t="s">
        <v>65</v>
      </c>
      <c r="M11" s="164" t="s">
        <v>100</v>
      </c>
      <c r="N11" s="163" t="s">
        <v>49</v>
      </c>
      <c r="O11" s="163" t="s">
        <v>49</v>
      </c>
      <c r="P11" s="165" t="s">
        <v>46</v>
      </c>
      <c r="Q11" s="166" t="s">
        <v>78</v>
      </c>
      <c r="R11" s="35"/>
    </row>
    <row r="12" spans="1:17" ht="15">
      <c r="A12" s="24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109"/>
      <c r="M12" s="106"/>
      <c r="N12" s="110"/>
      <c r="O12" s="38"/>
      <c r="P12" s="106"/>
      <c r="Q12" s="110"/>
    </row>
    <row r="13" spans="1:17" ht="15">
      <c r="A13" s="24"/>
      <c r="B13" t="s">
        <v>8</v>
      </c>
      <c r="C13" s="15">
        <v>230000</v>
      </c>
      <c r="D13" s="14">
        <v>118689</v>
      </c>
      <c r="E13" s="10">
        <f>SUM(D13/$D$35*0.5)</f>
        <v>0.015144605468793862</v>
      </c>
      <c r="F13" s="17">
        <v>4</v>
      </c>
      <c r="G13" s="10">
        <f>SUM(F13/$F$35*0.25)</f>
        <v>0.014925373134328358</v>
      </c>
      <c r="H13" s="15">
        <v>1250736</v>
      </c>
      <c r="I13" s="10">
        <f>SUM(H13/$H$35*0.25)</f>
        <v>0.007511139371073836</v>
      </c>
      <c r="J13" s="17">
        <f>E13+G13+I13</f>
        <v>0.037581117974196054</v>
      </c>
      <c r="K13" s="15">
        <f>ROUND(J13*$K$37,0)</f>
        <v>100972</v>
      </c>
      <c r="L13" s="18">
        <f>C13+K13</f>
        <v>330972</v>
      </c>
      <c r="M13" s="21">
        <f>ROUND(346998*L13/$L$35,0)</f>
        <v>15593</v>
      </c>
      <c r="N13" s="16">
        <f>SUM(L13:M13)</f>
        <v>346565</v>
      </c>
      <c r="O13" s="15">
        <v>345879</v>
      </c>
      <c r="P13" s="21">
        <f>N13-O13</f>
        <v>686</v>
      </c>
      <c r="Q13" s="53">
        <f>SUM(P13/O13)</f>
        <v>0.0019833525597101878</v>
      </c>
    </row>
    <row r="14" spans="1:17" ht="15">
      <c r="A14" s="24"/>
      <c r="C14" s="3"/>
      <c r="D14" s="2"/>
      <c r="E14" s="25"/>
      <c r="L14" s="19"/>
      <c r="M14" s="22"/>
      <c r="N14" s="29"/>
      <c r="O14" s="3"/>
      <c r="P14" s="11"/>
      <c r="Q14" s="54"/>
    </row>
    <row r="15" spans="1:17" ht="15">
      <c r="A15" s="24"/>
      <c r="B15" t="s">
        <v>11</v>
      </c>
      <c r="C15" s="15">
        <v>230000</v>
      </c>
      <c r="D15" s="14">
        <v>108972</v>
      </c>
      <c r="E15" s="10">
        <f>SUM(D15/$D$35*0.5)</f>
        <v>0.013904725350667752</v>
      </c>
      <c r="F15" s="17">
        <v>14</v>
      </c>
      <c r="G15" s="10">
        <f>SUM(F15/$F$35*0.25)</f>
        <v>0.05223880597014925</v>
      </c>
      <c r="H15" s="15">
        <v>1540272</v>
      </c>
      <c r="I15" s="10">
        <f>SUM(H15/$H$35*0.25)</f>
        <v>0.009249911781033439</v>
      </c>
      <c r="J15" s="17">
        <f>E15+G15+I15</f>
        <v>0.07539344310185045</v>
      </c>
      <c r="K15" s="15">
        <f>ROUND(J15*$K$37,0)</f>
        <v>202564</v>
      </c>
      <c r="L15" s="18">
        <f>C15+K15</f>
        <v>432564</v>
      </c>
      <c r="M15" s="21">
        <f>ROUND(346998*L15/$L$35,0)</f>
        <v>20380</v>
      </c>
      <c r="N15" s="16">
        <f>SUM(L15:M15)</f>
        <v>452944</v>
      </c>
      <c r="O15" s="15">
        <v>451494</v>
      </c>
      <c r="P15" s="21">
        <f>N15-O15</f>
        <v>1450</v>
      </c>
      <c r="Q15" s="53">
        <f>SUM(P15/O15)</f>
        <v>0.0032115598435416637</v>
      </c>
    </row>
    <row r="16" spans="1:17" ht="15">
      <c r="A16" s="24"/>
      <c r="C16" s="3"/>
      <c r="D16" s="2"/>
      <c r="E16" s="25"/>
      <c r="H16" s="3"/>
      <c r="L16" s="19"/>
      <c r="M16" s="22"/>
      <c r="N16" s="29"/>
      <c r="O16" s="3"/>
      <c r="P16" s="11"/>
      <c r="Q16" s="54"/>
    </row>
    <row r="17" spans="1:17" ht="15">
      <c r="A17" s="24"/>
      <c r="B17" t="s">
        <v>13</v>
      </c>
      <c r="C17" s="15">
        <f>+'2005 Svcs and Adm Alloca'!W17*0.07</f>
        <v>445658.85000000003</v>
      </c>
      <c r="D17" s="14">
        <v>394425</v>
      </c>
      <c r="E17" s="10">
        <f>SUM(D17/$D$35*0.5)</f>
        <v>0.05032826135555122</v>
      </c>
      <c r="F17" s="17">
        <v>16</v>
      </c>
      <c r="G17" s="10">
        <f>SUM(F17/$F$35*0.25)</f>
        <v>0.05970149253731343</v>
      </c>
      <c r="H17" s="15">
        <v>3714410</v>
      </c>
      <c r="I17" s="10">
        <f>SUM(H17/$H$35*0.25)</f>
        <v>0.022306426928872573</v>
      </c>
      <c r="J17" s="17">
        <f>E17+G17+I17</f>
        <v>0.13233618082173723</v>
      </c>
      <c r="K17" s="15">
        <f>ROUND(J17*$K$37,0)</f>
        <v>355556</v>
      </c>
      <c r="L17" s="18">
        <f>C17+K17</f>
        <v>801214.8500000001</v>
      </c>
      <c r="M17" s="21">
        <f>ROUND(346998*L17/$L$35,0)</f>
        <v>37748</v>
      </c>
      <c r="N17" s="16">
        <f>SUM(L17:M17)</f>
        <v>838962.8500000001</v>
      </c>
      <c r="O17" s="15">
        <v>833513</v>
      </c>
      <c r="P17" s="21">
        <f>N17-O17</f>
        <v>5449.850000000093</v>
      </c>
      <c r="Q17" s="53">
        <f>SUM(P17/O17)</f>
        <v>0.006538410318735393</v>
      </c>
    </row>
    <row r="18" spans="1:17" ht="15">
      <c r="A18" s="24"/>
      <c r="C18" s="3"/>
      <c r="D18" s="2"/>
      <c r="E18" s="25"/>
      <c r="H18" s="3"/>
      <c r="L18" s="19"/>
      <c r="M18" s="22"/>
      <c r="N18" s="29"/>
      <c r="O18" s="3"/>
      <c r="P18" s="11"/>
      <c r="Q18" s="54"/>
    </row>
    <row r="19" spans="1:17" ht="15">
      <c r="A19" s="24"/>
      <c r="B19" t="s">
        <v>14</v>
      </c>
      <c r="C19" s="15">
        <f>+'2005 Svcs and Adm Alloca'!W19*0.07</f>
        <v>396321.66000000003</v>
      </c>
      <c r="D19" s="14">
        <v>342280</v>
      </c>
      <c r="E19" s="10">
        <f>SUM(D19/$D$35*0.5)</f>
        <v>0.04367460809223064</v>
      </c>
      <c r="F19" s="17">
        <v>7</v>
      </c>
      <c r="G19" s="10">
        <f>SUM(F19/$F$35*0.25)</f>
        <v>0.026119402985074626</v>
      </c>
      <c r="H19" s="15">
        <v>3988358</v>
      </c>
      <c r="I19" s="10">
        <f>SUM(H19/$H$35*0.25)</f>
        <v>0.02395158754504332</v>
      </c>
      <c r="J19" s="17">
        <f>E19+G19+I19</f>
        <v>0.09374559862234857</v>
      </c>
      <c r="K19" s="15">
        <f>ROUND(J19*$K$37,0)</f>
        <v>251872</v>
      </c>
      <c r="L19" s="18">
        <f>C19+K19</f>
        <v>648193.66</v>
      </c>
      <c r="M19" s="21">
        <f>ROUND(346998*L19/$L$35,0)</f>
        <v>30539</v>
      </c>
      <c r="N19" s="16">
        <f>SUM(L19:M19)</f>
        <v>678732.66</v>
      </c>
      <c r="O19" s="15">
        <v>674354</v>
      </c>
      <c r="P19" s="21">
        <f>N19-O19</f>
        <v>4378.660000000033</v>
      </c>
      <c r="Q19" s="53">
        <f>SUM(P19/O19)</f>
        <v>0.006493117857979685</v>
      </c>
    </row>
    <row r="20" spans="1:17" ht="15">
      <c r="A20" s="24"/>
      <c r="C20" s="3"/>
      <c r="D20" s="2"/>
      <c r="E20" s="25"/>
      <c r="H20" s="3"/>
      <c r="L20" s="19"/>
      <c r="M20" s="22"/>
      <c r="N20" s="29"/>
      <c r="O20" s="3"/>
      <c r="P20" s="11"/>
      <c r="Q20" s="54"/>
    </row>
    <row r="21" spans="1:17" ht="15">
      <c r="A21" s="24"/>
      <c r="B21" t="s">
        <v>15</v>
      </c>
      <c r="C21" s="15">
        <f>+'2005 Svcs and Adm Alloca'!W21*0.07</f>
        <v>366935.66000000003</v>
      </c>
      <c r="D21" s="14">
        <v>394242</v>
      </c>
      <c r="E21" s="10">
        <f>SUM(D21/$D$35*0.5)</f>
        <v>0.05030491072658991</v>
      </c>
      <c r="F21" s="17">
        <v>2</v>
      </c>
      <c r="G21" s="10">
        <f>SUM(F21/$F$35*0.25)</f>
        <v>0.007462686567164179</v>
      </c>
      <c r="H21" s="15">
        <v>5924354</v>
      </c>
      <c r="I21" s="10">
        <f>SUM(H21/$H$35*0.25)</f>
        <v>0.0355779705530014</v>
      </c>
      <c r="J21" s="17">
        <f>E21+G21+I21</f>
        <v>0.09334556784675549</v>
      </c>
      <c r="K21" s="15">
        <f>ROUND(J21*$K$37,0)</f>
        <v>250797</v>
      </c>
      <c r="L21" s="18">
        <f>C21+K21</f>
        <v>617732.66</v>
      </c>
      <c r="M21" s="21">
        <f>ROUND(346998*L21/$L$35,0)</f>
        <v>29103</v>
      </c>
      <c r="N21" s="16">
        <f>SUM(L21:M21)</f>
        <v>646835.66</v>
      </c>
      <c r="O21" s="15">
        <v>642331</v>
      </c>
      <c r="P21" s="21">
        <f>N21-O21</f>
        <v>4504.660000000033</v>
      </c>
      <c r="Q21" s="53">
        <f>SUM(P21/O21)</f>
        <v>0.007012988630472502</v>
      </c>
    </row>
    <row r="22" spans="1:17" ht="15">
      <c r="A22" s="24"/>
      <c r="C22" s="3"/>
      <c r="D22" s="2"/>
      <c r="E22" s="25"/>
      <c r="H22" s="3"/>
      <c r="L22" s="19"/>
      <c r="M22" s="22"/>
      <c r="N22" s="29"/>
      <c r="O22" s="3"/>
      <c r="P22" s="11"/>
      <c r="Q22" s="54"/>
    </row>
    <row r="23" spans="1:17" ht="15">
      <c r="A23" s="24"/>
      <c r="B23" t="s">
        <v>17</v>
      </c>
      <c r="C23" s="15">
        <f>+'2005 Svcs and Adm Alloca'!W23*0.07</f>
        <v>510203.8900000001</v>
      </c>
      <c r="D23" s="14">
        <v>435837</v>
      </c>
      <c r="E23" s="10">
        <f>SUM(D23/$D$35*0.5)</f>
        <v>0.055612393850337526</v>
      </c>
      <c r="F23" s="17">
        <v>5</v>
      </c>
      <c r="G23" s="10">
        <f>SUM(F23/$F$35*0.25)</f>
        <v>0.018656716417910446</v>
      </c>
      <c r="H23" s="15">
        <v>4294536</v>
      </c>
      <c r="I23" s="10">
        <f>SUM(H23/$H$35*0.25)</f>
        <v>0.02579030141460224</v>
      </c>
      <c r="J23" s="17">
        <f>E23+G23+I23</f>
        <v>0.10005941168285022</v>
      </c>
      <c r="K23" s="15">
        <f>ROUND(J23*$K$37,0)</f>
        <v>268836</v>
      </c>
      <c r="L23" s="18">
        <f>C23+K23</f>
        <v>779039.8900000001</v>
      </c>
      <c r="M23" s="21">
        <f>ROUND(346998*L23/$L$35,0)</f>
        <v>36703</v>
      </c>
      <c r="N23" s="16">
        <f>SUM(L23:M23)</f>
        <v>815742.8900000001</v>
      </c>
      <c r="O23" s="15">
        <v>810462</v>
      </c>
      <c r="P23" s="21">
        <f>N23-O23</f>
        <v>5280.89000000013</v>
      </c>
      <c r="Q23" s="53">
        <f>SUM(P23/O23)</f>
        <v>0.006515900807194082</v>
      </c>
    </row>
    <row r="24" spans="1:17" ht="15">
      <c r="A24" s="24"/>
      <c r="C24" s="3"/>
      <c r="D24" s="2"/>
      <c r="E24" s="25"/>
      <c r="H24" s="3"/>
      <c r="L24" s="19"/>
      <c r="M24" s="22"/>
      <c r="N24" s="29"/>
      <c r="O24" s="3"/>
      <c r="P24" s="11"/>
      <c r="Q24" s="54"/>
    </row>
    <row r="25" spans="1:17" ht="15">
      <c r="A25" s="24"/>
      <c r="B25" t="s">
        <v>22</v>
      </c>
      <c r="C25" s="15">
        <f>+'2005 Svcs and Adm Alloca'!W25*0.07</f>
        <v>376682.67000000004</v>
      </c>
      <c r="D25" s="14">
        <v>357844</v>
      </c>
      <c r="E25" s="10">
        <f>SUM(D25/$D$35*0.5)</f>
        <v>0.04566055994553051</v>
      </c>
      <c r="F25" s="17">
        <v>4</v>
      </c>
      <c r="G25" s="10">
        <f>SUM(F25/$F$35*0.25)</f>
        <v>0.014925373134328358</v>
      </c>
      <c r="H25" s="15">
        <v>3147592</v>
      </c>
      <c r="I25" s="10">
        <f>SUM(H25/$H$35*0.25)</f>
        <v>0.01890247198071938</v>
      </c>
      <c r="J25" s="17">
        <f>E25+G25+I25</f>
        <v>0.07948840506057825</v>
      </c>
      <c r="K25" s="15">
        <f>ROUND(J25*$K$37,0)</f>
        <v>213566</v>
      </c>
      <c r="L25" s="18">
        <f>C25+K25</f>
        <v>590248.67</v>
      </c>
      <c r="M25" s="21">
        <f>ROUND(346998*L25/$L$35,0)</f>
        <v>27809</v>
      </c>
      <c r="N25" s="16">
        <f>SUM(L25:M25)</f>
        <v>618057.67</v>
      </c>
      <c r="O25" s="15">
        <v>613839</v>
      </c>
      <c r="P25" s="21">
        <f>N25-O25</f>
        <v>4218.670000000042</v>
      </c>
      <c r="Q25" s="53">
        <f>SUM(P25/O25)</f>
        <v>0.00687260014433759</v>
      </c>
    </row>
    <row r="26" spans="1:17" ht="15">
      <c r="A26" s="24"/>
      <c r="C26" s="3"/>
      <c r="D26" s="2"/>
      <c r="E26" s="25"/>
      <c r="H26" s="3"/>
      <c r="L26" s="19"/>
      <c r="M26" s="22"/>
      <c r="N26" s="29"/>
      <c r="O26" s="3"/>
      <c r="P26" s="11"/>
      <c r="Q26" s="54"/>
    </row>
    <row r="27" spans="1:17" ht="15">
      <c r="A27" s="24"/>
      <c r="B27" t="s">
        <v>24</v>
      </c>
      <c r="C27" s="15">
        <f>+'2005 Svcs and Adm Alloca'!W27*0.07</f>
        <v>386673.49000000005</v>
      </c>
      <c r="D27" s="14">
        <v>467450</v>
      </c>
      <c r="E27" s="10">
        <f>SUM(D27/$D$35*0.5)</f>
        <v>0.059646183103638</v>
      </c>
      <c r="F27" s="17">
        <v>7</v>
      </c>
      <c r="G27" s="10">
        <f>SUM(F27/$F$35*0.25)</f>
        <v>0.026119402985074626</v>
      </c>
      <c r="H27" s="15">
        <v>3914198</v>
      </c>
      <c r="I27" s="10">
        <f>SUM(H27/$H$35*0.25)</f>
        <v>0.02350622889560904</v>
      </c>
      <c r="J27" s="17">
        <f>E27+G27+I27</f>
        <v>0.10927181498432166</v>
      </c>
      <c r="K27" s="15">
        <f>ROUND(J27*$K$37,0)</f>
        <v>293587</v>
      </c>
      <c r="L27" s="18">
        <f>C27+K27</f>
        <v>680260.49</v>
      </c>
      <c r="M27" s="21">
        <f>ROUND(346998*L27/$L$35,0)</f>
        <v>32049</v>
      </c>
      <c r="N27" s="16">
        <f>SUM(L27:M27)</f>
        <v>712309.49</v>
      </c>
      <c r="O27" s="15">
        <v>707479</v>
      </c>
      <c r="P27" s="21">
        <f>N27-O27</f>
        <v>4830.489999999991</v>
      </c>
      <c r="Q27" s="53">
        <f>SUM(P27/O27)</f>
        <v>0.006827750364321755</v>
      </c>
    </row>
    <row r="28" spans="1:17" ht="15">
      <c r="A28" s="24"/>
      <c r="C28" s="3"/>
      <c r="D28" s="2"/>
      <c r="E28" s="25"/>
      <c r="H28" s="3"/>
      <c r="L28" s="19"/>
      <c r="M28" s="22"/>
      <c r="N28" s="29"/>
      <c r="O28" s="3"/>
      <c r="P28" s="11"/>
      <c r="Q28" s="54"/>
    </row>
    <row r="29" spans="1:17" ht="15">
      <c r="A29" s="24"/>
      <c r="B29" t="s">
        <v>25</v>
      </c>
      <c r="C29" s="15">
        <f>+'2005 Svcs and Adm Alloca'!W29*0.07</f>
        <v>464655.10000000003</v>
      </c>
      <c r="D29" s="14">
        <v>501258</v>
      </c>
      <c r="E29" s="10">
        <f>SUM(D29/$D$35*0.5)</f>
        <v>0.06396005230540887</v>
      </c>
      <c r="F29" s="17">
        <v>5</v>
      </c>
      <c r="G29" s="10">
        <f>SUM(F29/$F$35*0.25)</f>
        <v>0.018656716417910446</v>
      </c>
      <c r="H29" s="15">
        <v>3584625</v>
      </c>
      <c r="I29" s="10">
        <f>SUM(H29/$H$35*0.25)</f>
        <v>0.02152701926548492</v>
      </c>
      <c r="J29" s="17">
        <f>E29+G29+I29</f>
        <v>0.10414378798880423</v>
      </c>
      <c r="K29" s="15">
        <f>ROUND(J29*$K$37,0)</f>
        <v>279810</v>
      </c>
      <c r="L29" s="18">
        <f>C29+K29</f>
        <v>744465.1000000001</v>
      </c>
      <c r="M29" s="21">
        <f>ROUND(346998*L29/$L$35,0)</f>
        <v>35074</v>
      </c>
      <c r="N29" s="16">
        <f>SUM(L29:M29)</f>
        <v>779539.1000000001</v>
      </c>
      <c r="O29" s="15">
        <v>774218</v>
      </c>
      <c r="P29" s="21">
        <f>N29-O29</f>
        <v>5321.100000000093</v>
      </c>
      <c r="Q29" s="53">
        <f>SUM(P29/O29)</f>
        <v>0.006872870431842314</v>
      </c>
    </row>
    <row r="30" spans="1:17" ht="15">
      <c r="A30" s="24"/>
      <c r="C30" s="3"/>
      <c r="D30" s="2"/>
      <c r="E30" s="25"/>
      <c r="H30" s="3"/>
      <c r="L30" s="19"/>
      <c r="M30" s="22"/>
      <c r="N30" s="29"/>
      <c r="O30" s="3"/>
      <c r="P30" s="11"/>
      <c r="Q30" s="54"/>
    </row>
    <row r="31" spans="1:17" ht="15">
      <c r="A31" s="24"/>
      <c r="B31" t="s">
        <v>9</v>
      </c>
      <c r="C31" s="15">
        <f>+'2005 Svcs and Adm Alloca'!W31*0.07</f>
        <v>384282.08</v>
      </c>
      <c r="D31" s="14">
        <v>349954</v>
      </c>
      <c r="E31" s="10">
        <f>SUM(D31/$D$35*0.5)</f>
        <v>0.044653803319821446</v>
      </c>
      <c r="F31" s="17">
        <v>1</v>
      </c>
      <c r="G31" s="10">
        <f>SUM(F31/$F$35*0.25)</f>
        <v>0.0037313432835820895</v>
      </c>
      <c r="H31" s="15">
        <v>5586876</v>
      </c>
      <c r="I31" s="10">
        <f>SUM(H31/$H$35*0.25)</f>
        <v>0.03355128842929883</v>
      </c>
      <c r="J31" s="17">
        <f>E31+G31+I31</f>
        <v>0.08193643503270237</v>
      </c>
      <c r="K31" s="15">
        <f>ROUND(J31*$K$37,0)</f>
        <v>220144</v>
      </c>
      <c r="L31" s="18">
        <f>C31+K31</f>
        <v>604426.0800000001</v>
      </c>
      <c r="M31" s="21">
        <f>ROUND(346998*L31/$L$35,0)</f>
        <v>28476</v>
      </c>
      <c r="N31" s="16">
        <f>SUM(L31:M31)</f>
        <v>632902.0800000001</v>
      </c>
      <c r="O31" s="15">
        <v>628315</v>
      </c>
      <c r="P31" s="21">
        <f>N31-O31</f>
        <v>4587.0800000000745</v>
      </c>
      <c r="Q31" s="53">
        <f>SUM(P31/O31)</f>
        <v>0.007300605587961571</v>
      </c>
    </row>
    <row r="32" spans="1:17" ht="15">
      <c r="A32" s="24"/>
      <c r="C32" s="3"/>
      <c r="D32" s="2"/>
      <c r="E32" s="25"/>
      <c r="H32" s="3"/>
      <c r="L32" s="19"/>
      <c r="M32" s="22"/>
      <c r="N32" s="29"/>
      <c r="O32" s="3"/>
      <c r="P32" s="11"/>
      <c r="Q32" s="54"/>
    </row>
    <row r="33" spans="1:17" ht="15">
      <c r="A33" s="24"/>
      <c r="B33" s="17" t="s">
        <v>10</v>
      </c>
      <c r="C33" s="15">
        <f>+'2005 Svcs and Adm Alloca'!W33*0.07</f>
        <v>887006.8900000001</v>
      </c>
      <c r="D33" s="14">
        <v>447573</v>
      </c>
      <c r="E33" s="10">
        <f>SUM(D33/$D$35*0.5)</f>
        <v>0.05710989648143025</v>
      </c>
      <c r="F33" s="17">
        <v>2</v>
      </c>
      <c r="G33" s="10">
        <f>SUM(F33/$F$35*0.25)</f>
        <v>0.007462686567164179</v>
      </c>
      <c r="H33" s="15">
        <v>4683413</v>
      </c>
      <c r="I33" s="10">
        <f>SUM(H33/$H$35*0.25)</f>
        <v>0.02812565383526102</v>
      </c>
      <c r="J33" s="17">
        <f>E33+G33+I33</f>
        <v>0.09269823688385545</v>
      </c>
      <c r="K33" s="15">
        <f>ROUND(J33*$K$37,0)</f>
        <v>249058</v>
      </c>
      <c r="L33" s="18">
        <f>C33+K33</f>
        <v>1136064.8900000001</v>
      </c>
      <c r="M33" s="21">
        <f>ROUND(346998*L33/$L$35,0)</f>
        <v>53524</v>
      </c>
      <c r="N33" s="16">
        <f>SUM(L33:M33)</f>
        <v>1189588.8900000001</v>
      </c>
      <c r="O33" s="15">
        <v>1181193</v>
      </c>
      <c r="P33" s="21">
        <f>N33-O33</f>
        <v>8395.89000000013</v>
      </c>
      <c r="Q33" s="53">
        <f>SUM(P33/O33)</f>
        <v>0.007107974734019022</v>
      </c>
    </row>
    <row r="34" spans="1:17" ht="15">
      <c r="A34" s="24"/>
      <c r="C34" s="3"/>
      <c r="D34" s="2"/>
      <c r="E34" s="25"/>
      <c r="H34" s="3"/>
      <c r="L34" s="19"/>
      <c r="M34" s="22"/>
      <c r="N34" s="29"/>
      <c r="O34" s="3"/>
      <c r="P34" s="11"/>
      <c r="Q34" s="54"/>
    </row>
    <row r="35" spans="1:17" ht="15">
      <c r="A35" s="24"/>
      <c r="B35" t="s">
        <v>76</v>
      </c>
      <c r="C35" s="3">
        <f aca="true" t="shared" si="0" ref="C35:O35">SUM(C13:C33)</f>
        <v>4678420.290000001</v>
      </c>
      <c r="D35" s="2">
        <f t="shared" si="0"/>
        <v>3918524</v>
      </c>
      <c r="E35" s="25">
        <f t="shared" si="0"/>
        <v>0.5</v>
      </c>
      <c r="F35">
        <f t="shared" si="0"/>
        <v>67</v>
      </c>
      <c r="G35" s="25">
        <f t="shared" si="0"/>
        <v>0.24999999999999997</v>
      </c>
      <c r="H35" s="3">
        <f t="shared" si="0"/>
        <v>41629370</v>
      </c>
      <c r="I35" s="25">
        <f t="shared" si="0"/>
        <v>0.25</v>
      </c>
      <c r="J35" s="25">
        <f t="shared" si="0"/>
        <v>1</v>
      </c>
      <c r="K35" s="3">
        <f>SUM(K13:K33)+1</f>
        <v>2686763</v>
      </c>
      <c r="L35" s="19">
        <f>SUM(L13:L33)+1</f>
        <v>7365183.290000001</v>
      </c>
      <c r="M35" s="22">
        <f t="shared" si="0"/>
        <v>346998</v>
      </c>
      <c r="N35" s="29">
        <f>SUM(N13:N33)+1</f>
        <v>7712181.290000001</v>
      </c>
      <c r="O35" s="3">
        <f t="shared" si="0"/>
        <v>7663077</v>
      </c>
      <c r="P35" s="22">
        <f>SUM(P13:P33)+1</f>
        <v>49104.29000000062</v>
      </c>
      <c r="Q35" s="54">
        <f>SUM(P35/O35)</f>
        <v>0.006407907685124476</v>
      </c>
    </row>
    <row r="36" spans="1:17" ht="15">
      <c r="A36" s="26"/>
      <c r="B36" s="30"/>
      <c r="C36" s="30"/>
      <c r="D36" s="27"/>
      <c r="E36" s="30"/>
      <c r="F36" s="30"/>
      <c r="G36" s="30"/>
      <c r="H36" s="31"/>
      <c r="I36" s="30"/>
      <c r="J36" s="30"/>
      <c r="K36" s="30"/>
      <c r="L36" s="20"/>
      <c r="M36" s="23"/>
      <c r="N36" s="32"/>
      <c r="O36" s="30"/>
      <c r="P36" s="12"/>
      <c r="Q36" s="28"/>
    </row>
    <row r="37" spans="9:14" ht="15">
      <c r="I37" t="s">
        <v>32</v>
      </c>
      <c r="K37" s="3">
        <f>7365183-C35</f>
        <v>2686762.709999999</v>
      </c>
      <c r="L37" s="3"/>
      <c r="M37" s="3"/>
      <c r="N37" s="3"/>
    </row>
    <row r="38" spans="2:15" ht="15.75">
      <c r="B38" s="9"/>
      <c r="C38" s="9" t="s">
        <v>6</v>
      </c>
      <c r="D38" s="52" t="s">
        <v>103</v>
      </c>
      <c r="L38" s="3"/>
      <c r="M38" s="3"/>
      <c r="N38" s="3"/>
      <c r="O38" t="s">
        <v>105</v>
      </c>
    </row>
    <row r="39" spans="2:16" ht="15.75">
      <c r="B39" s="9"/>
      <c r="C39" s="9" t="s">
        <v>7</v>
      </c>
      <c r="D39" s="9" t="s">
        <v>36</v>
      </c>
      <c r="O39" t="s">
        <v>104</v>
      </c>
      <c r="P39" s="57"/>
    </row>
    <row r="40" ht="15">
      <c r="O40" s="57"/>
    </row>
  </sheetData>
  <printOptions/>
  <pageMargins left="0.75" right="0.75" top="1" bottom="1" header="0.5" footer="0.5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hodges</cp:lastModifiedBy>
  <cp:lastPrinted>2005-01-26T18:38:05Z</cp:lastPrinted>
  <dcterms:created xsi:type="dcterms:W3CDTF">2003-01-21T20:44:35Z</dcterms:created>
  <dcterms:modified xsi:type="dcterms:W3CDTF">2005-01-26T22:04:38Z</dcterms:modified>
  <cp:category/>
  <cp:version/>
  <cp:contentType/>
  <cp:contentStatus/>
</cp:coreProperties>
</file>